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10.12.22\TreasuryFund\Алтны мэдээ\"/>
    </mc:Choice>
  </mc:AlternateContent>
  <xr:revisionPtr revIDLastSave="0" documentId="13_ncr:1_{C392D1D3-D1A8-4AEB-857D-43CA5AF7BCED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2018" sheetId="2" r:id="rId1"/>
    <sheet name="2019" sheetId="1" r:id="rId2"/>
    <sheet name="2020" sheetId="4" r:id="rId3"/>
    <sheet name="2021" sheetId="5" r:id="rId4"/>
    <sheet name="2022" sheetId="7" r:id="rId5"/>
    <sheet name="2023" sheetId="6" r:id="rId6"/>
    <sheet name="2024" sheetId="8" r:id="rId7"/>
    <sheet name="2025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9" l="1"/>
  <c r="J5" i="9" l="1"/>
  <c r="J16" i="9" s="1"/>
  <c r="G5" i="9"/>
  <c r="D5" i="9"/>
  <c r="J4" i="9"/>
  <c r="I4" i="9"/>
  <c r="E4" i="9" s="1"/>
  <c r="G4" i="9"/>
  <c r="G16" i="9" s="1"/>
  <c r="D4" i="9"/>
  <c r="E5" i="9"/>
  <c r="E6" i="9"/>
  <c r="E7" i="9"/>
  <c r="E8" i="9"/>
  <c r="E9" i="9"/>
  <c r="E10" i="9"/>
  <c r="E11" i="9"/>
  <c r="E12" i="9"/>
  <c r="E13" i="9"/>
  <c r="E14" i="9"/>
  <c r="E15" i="9"/>
  <c r="O15" i="9"/>
  <c r="K15" i="9"/>
  <c r="H15" i="9"/>
  <c r="O14" i="9"/>
  <c r="K14" i="9"/>
  <c r="H14" i="9"/>
  <c r="O13" i="9"/>
  <c r="K13" i="9"/>
  <c r="H13" i="9"/>
  <c r="O12" i="9"/>
  <c r="K12" i="9"/>
  <c r="H12" i="9"/>
  <c r="O11" i="9"/>
  <c r="K11" i="9"/>
  <c r="H11" i="9"/>
  <c r="O10" i="9"/>
  <c r="K10" i="9"/>
  <c r="H10" i="9"/>
  <c r="O9" i="9"/>
  <c r="K9" i="9"/>
  <c r="H9" i="9"/>
  <c r="O8" i="9"/>
  <c r="K8" i="9"/>
  <c r="H8" i="9"/>
  <c r="O7" i="9"/>
  <c r="K7" i="9"/>
  <c r="H7" i="9"/>
  <c r="O6" i="9"/>
  <c r="D6" i="9" s="1"/>
  <c r="K6" i="9"/>
  <c r="H6" i="9"/>
  <c r="O5" i="9"/>
  <c r="K5" i="9"/>
  <c r="H5" i="9"/>
  <c r="O4" i="9"/>
  <c r="H4" i="9"/>
  <c r="C16" i="9"/>
  <c r="B16" i="9"/>
  <c r="C10" i="8"/>
  <c r="J15" i="8"/>
  <c r="K15" i="8" s="1"/>
  <c r="H15" i="8"/>
  <c r="G15" i="8"/>
  <c r="E15" i="8"/>
  <c r="D15" i="8"/>
  <c r="G14" i="8"/>
  <c r="H14" i="8"/>
  <c r="K14" i="8"/>
  <c r="J14" i="8"/>
  <c r="D14" i="8"/>
  <c r="D16" i="9" l="1"/>
  <c r="H16" i="9"/>
  <c r="K4" i="9"/>
  <c r="K16" i="9" s="1"/>
  <c r="E21" i="7"/>
  <c r="D21" i="7"/>
  <c r="B5" i="8"/>
  <c r="J6" i="8" l="1"/>
  <c r="J13" i="8"/>
  <c r="K13" i="8" s="1"/>
  <c r="H13" i="8"/>
  <c r="G13" i="8"/>
  <c r="E13" i="8"/>
  <c r="D13" i="8"/>
  <c r="D12" i="8"/>
  <c r="K12" i="8"/>
  <c r="H12" i="8"/>
  <c r="J11" i="8" l="1"/>
  <c r="K11" i="8" s="1"/>
  <c r="H11" i="8"/>
  <c r="G11" i="8"/>
  <c r="E11" i="8"/>
  <c r="D11" i="8"/>
  <c r="J10" i="8" l="1"/>
  <c r="K10" i="8"/>
  <c r="H10" i="8"/>
  <c r="G10" i="8"/>
  <c r="E10" i="8"/>
  <c r="D10" i="8"/>
  <c r="K9" i="8" l="1"/>
  <c r="H9" i="8"/>
  <c r="K6" i="8"/>
  <c r="K7" i="8"/>
  <c r="K8" i="8"/>
  <c r="H6" i="8"/>
  <c r="H7" i="8"/>
  <c r="H8" i="8"/>
  <c r="J8" i="8"/>
  <c r="G8" i="8"/>
  <c r="D8" i="8"/>
  <c r="O7" i="8"/>
  <c r="O8" i="8"/>
  <c r="O9" i="8"/>
  <c r="O10" i="8"/>
  <c r="O11" i="8"/>
  <c r="O12" i="8"/>
  <c r="O13" i="8"/>
  <c r="O14" i="8"/>
  <c r="O15" i="8"/>
  <c r="B6" i="8" l="1"/>
  <c r="C6" i="8"/>
  <c r="G6" i="8"/>
  <c r="M6" i="8"/>
  <c r="N6" i="8"/>
  <c r="O6" i="8"/>
  <c r="M5" i="8" l="1"/>
  <c r="N5" i="8"/>
  <c r="O5" i="8" s="1"/>
  <c r="K5" i="8"/>
  <c r="G5" i="8"/>
  <c r="H5" i="8" s="1"/>
  <c r="C5" i="8"/>
  <c r="N4" i="8" l="1"/>
  <c r="M4" i="8"/>
  <c r="O4" i="8" s="1"/>
  <c r="J4" i="8"/>
  <c r="G4" i="8"/>
  <c r="C4" i="8"/>
  <c r="B4" i="8"/>
  <c r="J16" i="8" l="1"/>
  <c r="G16" i="8"/>
  <c r="D16" i="8"/>
  <c r="C16" i="8"/>
  <c r="B16" i="8"/>
  <c r="K4" i="8"/>
  <c r="K16" i="8" s="1"/>
  <c r="J15" i="6"/>
  <c r="K15" i="6" s="1"/>
  <c r="I15" i="6"/>
  <c r="E15" i="6" s="1"/>
  <c r="H15" i="6"/>
  <c r="G15" i="6"/>
  <c r="F15" i="6"/>
  <c r="D15" i="6"/>
  <c r="C15" i="6"/>
  <c r="C16" i="6" s="1"/>
  <c r="B15" i="6"/>
  <c r="B16" i="6" s="1"/>
  <c r="J14" i="6"/>
  <c r="K14" i="6" s="1"/>
  <c r="I14" i="6"/>
  <c r="E14" i="6" s="1"/>
  <c r="G14" i="6"/>
  <c r="H14" i="6" s="1"/>
  <c r="F14" i="6"/>
  <c r="D14" i="6"/>
  <c r="P4" i="6"/>
  <c r="P5" i="6"/>
  <c r="P6" i="6"/>
  <c r="P7" i="6"/>
  <c r="P8" i="6"/>
  <c r="P9" i="6"/>
  <c r="P11" i="6"/>
  <c r="P12" i="6"/>
  <c r="P13" i="6"/>
  <c r="P10" i="6"/>
  <c r="D11" i="6"/>
  <c r="D12" i="6"/>
  <c r="K13" i="6"/>
  <c r="J13" i="6"/>
  <c r="I13" i="6"/>
  <c r="G13" i="6"/>
  <c r="F13" i="6"/>
  <c r="E13" i="6" s="1"/>
  <c r="D13" i="6"/>
  <c r="J12" i="6"/>
  <c r="K12" i="6" s="1"/>
  <c r="I12" i="6"/>
  <c r="E12" i="6" s="1"/>
  <c r="H12" i="6"/>
  <c r="G12" i="6"/>
  <c r="F12" i="6"/>
  <c r="J11" i="6"/>
  <c r="K11" i="6" s="1"/>
  <c r="I11" i="6"/>
  <c r="G11" i="6"/>
  <c r="H11" i="6" s="1"/>
  <c r="F11" i="6"/>
  <c r="E11" i="6"/>
  <c r="E9" i="6"/>
  <c r="E10" i="6"/>
  <c r="K10" i="6"/>
  <c r="H10" i="6"/>
  <c r="J9" i="6"/>
  <c r="K9" i="6" s="1"/>
  <c r="I9" i="6"/>
  <c r="G9" i="6"/>
  <c r="H9" i="6" s="1"/>
  <c r="F9" i="6"/>
  <c r="D9" i="6"/>
  <c r="O9" i="6"/>
  <c r="O10" i="6"/>
  <c r="O11" i="6"/>
  <c r="O12" i="6"/>
  <c r="O13" i="6"/>
  <c r="O14" i="6"/>
  <c r="P14" i="6" s="1"/>
  <c r="O8" i="6"/>
  <c r="K8" i="6"/>
  <c r="J8" i="6"/>
  <c r="I8" i="6"/>
  <c r="E8" i="6" s="1"/>
  <c r="G8" i="6"/>
  <c r="H8" i="6" s="1"/>
  <c r="F8" i="6"/>
  <c r="D8" i="6"/>
  <c r="J7" i="6"/>
  <c r="K7" i="6" s="1"/>
  <c r="I7" i="6"/>
  <c r="E7" i="6" s="1"/>
  <c r="H7" i="6"/>
  <c r="G7" i="6"/>
  <c r="F7" i="6"/>
  <c r="D7" i="6"/>
  <c r="O7" i="6"/>
  <c r="O6" i="6"/>
  <c r="J6" i="6"/>
  <c r="K6" i="6" s="1"/>
  <c r="I6" i="6"/>
  <c r="G6" i="6"/>
  <c r="H6" i="6" s="1"/>
  <c r="F6" i="6"/>
  <c r="D6" i="6"/>
  <c r="O5" i="6"/>
  <c r="J5" i="6"/>
  <c r="K5" i="6" s="1"/>
  <c r="I5" i="6"/>
  <c r="G5" i="6"/>
  <c r="H5" i="6" s="1"/>
  <c r="F5" i="6"/>
  <c r="D5" i="6"/>
  <c r="D16" i="5"/>
  <c r="J4" i="6"/>
  <c r="K4" i="6" s="1"/>
  <c r="I4" i="6"/>
  <c r="G4" i="6"/>
  <c r="H4" i="6" s="1"/>
  <c r="F4" i="6"/>
  <c r="D4" i="6"/>
  <c r="H4" i="8" l="1"/>
  <c r="H16" i="8" s="1"/>
  <c r="P15" i="6"/>
  <c r="G16" i="6"/>
  <c r="H13" i="6"/>
  <c r="H16" i="6" s="1"/>
  <c r="J16" i="6"/>
  <c r="D16" i="6"/>
  <c r="K16" i="6"/>
  <c r="E5" i="6"/>
  <c r="E6" i="6"/>
  <c r="E4" i="6"/>
  <c r="O4" i="6"/>
  <c r="D15" i="7"/>
  <c r="F15" i="7"/>
  <c r="E15" i="7" s="1"/>
  <c r="G15" i="7"/>
  <c r="G16" i="7" s="1"/>
  <c r="H15" i="7"/>
  <c r="H16" i="7" s="1"/>
  <c r="I15" i="7"/>
  <c r="J15" i="7"/>
  <c r="K15" i="7" s="1"/>
  <c r="K16" i="7" s="1"/>
  <c r="D16" i="7"/>
  <c r="D18" i="7"/>
  <c r="C16" i="7"/>
  <c r="J16" i="7"/>
  <c r="B16" i="7"/>
  <c r="D14" i="7"/>
  <c r="E14" i="7"/>
  <c r="H14" i="7"/>
  <c r="K14" i="7"/>
  <c r="O14" i="7"/>
  <c r="J13" i="7" l="1"/>
  <c r="K13" i="7" s="1"/>
  <c r="I13" i="7"/>
  <c r="E13" i="7" s="1"/>
  <c r="G13" i="7"/>
  <c r="H13" i="7" s="1"/>
  <c r="F13" i="7"/>
  <c r="O13" i="7"/>
  <c r="D13" i="7" s="1"/>
  <c r="O15" i="7"/>
  <c r="J12" i="7"/>
  <c r="G12" i="7"/>
  <c r="O12" i="7"/>
  <c r="D12" i="7" s="1"/>
  <c r="I12" i="7"/>
  <c r="F12" i="7"/>
  <c r="O11" i="7"/>
  <c r="D11" i="7" s="1"/>
  <c r="J11" i="7"/>
  <c r="I11" i="7"/>
  <c r="E11" i="7" s="1"/>
  <c r="G11" i="7"/>
  <c r="H11" i="7" s="1"/>
  <c r="F11" i="7"/>
  <c r="J10" i="7"/>
  <c r="K10" i="7" s="1"/>
  <c r="G10" i="7"/>
  <c r="H10" i="7" s="1"/>
  <c r="E6" i="7"/>
  <c r="E8" i="7"/>
  <c r="E9" i="7"/>
  <c r="E10" i="7"/>
  <c r="O10" i="7"/>
  <c r="D10" i="7" s="1"/>
  <c r="O9" i="7"/>
  <c r="D9" i="7" s="1"/>
  <c r="K8" i="7"/>
  <c r="K9" i="7"/>
  <c r="H8" i="7"/>
  <c r="H9" i="7"/>
  <c r="E12" i="7" l="1"/>
  <c r="K12" i="7"/>
  <c r="H12" i="7"/>
  <c r="K11" i="7"/>
  <c r="G5" i="7"/>
  <c r="H5" i="7" s="1"/>
  <c r="I4" i="7"/>
  <c r="F4" i="7"/>
  <c r="O7" i="7"/>
  <c r="D7" i="7" s="1"/>
  <c r="O8" i="7"/>
  <c r="D8" i="7" s="1"/>
  <c r="J7" i="7"/>
  <c r="K7" i="7" s="1"/>
  <c r="G7" i="7"/>
  <c r="H7" i="7" s="1"/>
  <c r="I7" i="7"/>
  <c r="E7" i="7" s="1"/>
  <c r="J6" i="7"/>
  <c r="K6" i="7" s="1"/>
  <c r="G6" i="7"/>
  <c r="H6" i="7" s="1"/>
  <c r="O6" i="7"/>
  <c r="D6" i="7" s="1"/>
  <c r="F5" i="7"/>
  <c r="I5" i="7"/>
  <c r="J5" i="7"/>
  <c r="K5" i="7" s="1"/>
  <c r="O5" i="7"/>
  <c r="D5" i="7" s="1"/>
  <c r="O4" i="7"/>
  <c r="D4" i="7" s="1"/>
  <c r="J4" i="7"/>
  <c r="G4" i="7"/>
  <c r="K16" i="5"/>
  <c r="J16" i="5"/>
  <c r="H16" i="5"/>
  <c r="G16" i="5"/>
  <c r="G13" i="5"/>
  <c r="F15" i="5"/>
  <c r="J15" i="5"/>
  <c r="G15" i="5"/>
  <c r="H4" i="7" l="1"/>
  <c r="K4" i="7"/>
  <c r="E5" i="7"/>
  <c r="E4" i="7"/>
  <c r="C16" i="5"/>
  <c r="B16" i="5"/>
  <c r="K15" i="5"/>
  <c r="H15" i="5"/>
  <c r="E15" i="5"/>
  <c r="J14" i="5"/>
  <c r="G14" i="5"/>
  <c r="H14" i="5" s="1"/>
  <c r="I13" i="5"/>
  <c r="F13" i="5"/>
  <c r="J13" i="5"/>
  <c r="K14" i="5" l="1"/>
  <c r="E14" i="5"/>
  <c r="K13" i="5"/>
  <c r="H13" i="5"/>
  <c r="E13" i="5"/>
  <c r="F12" i="5"/>
  <c r="I12" i="5"/>
  <c r="J12" i="5"/>
  <c r="K12" i="5" s="1"/>
  <c r="G12" i="5"/>
  <c r="H12" i="5" s="1"/>
  <c r="J11" i="5"/>
  <c r="K11" i="5" s="1"/>
  <c r="G11" i="5"/>
  <c r="H11" i="5" s="1"/>
  <c r="I11" i="5"/>
  <c r="F11" i="5"/>
  <c r="G10" i="5"/>
  <c r="H10" i="5" s="1"/>
  <c r="J10" i="5"/>
  <c r="K10" i="5" s="1"/>
  <c r="E10" i="5"/>
  <c r="H9" i="5"/>
  <c r="K9" i="5"/>
  <c r="E9" i="5"/>
  <c r="K8" i="5"/>
  <c r="H8" i="5"/>
  <c r="E8" i="5"/>
  <c r="E11" i="5" l="1"/>
  <c r="E12" i="5"/>
  <c r="K7" i="5"/>
  <c r="E7" i="5"/>
  <c r="G6" i="5"/>
  <c r="E6" i="5"/>
  <c r="K5" i="5"/>
  <c r="H5" i="5"/>
  <c r="E5" i="5"/>
  <c r="H4" i="5"/>
  <c r="K4" i="5"/>
  <c r="E4" i="5"/>
  <c r="D65" i="5"/>
  <c r="I63" i="5"/>
  <c r="D62" i="5"/>
  <c r="I61" i="5"/>
  <c r="D59" i="5"/>
  <c r="I58" i="5"/>
  <c r="D56" i="5"/>
  <c r="I55" i="5"/>
  <c r="D53" i="5"/>
  <c r="I52" i="5"/>
  <c r="D50" i="5"/>
  <c r="I49" i="5"/>
  <c r="D47" i="5"/>
  <c r="I46" i="5"/>
  <c r="F44" i="5"/>
  <c r="D43" i="5"/>
  <c r="F39" i="5"/>
  <c r="D38" i="5"/>
  <c r="D34" i="5"/>
  <c r="B34" i="5"/>
  <c r="J20" i="5"/>
  <c r="G20" i="5"/>
  <c r="K16" i="4"/>
  <c r="K15" i="4"/>
  <c r="K14" i="4"/>
  <c r="J16" i="4"/>
  <c r="H15" i="4"/>
  <c r="H14" i="4"/>
  <c r="G16" i="4"/>
  <c r="E15" i="4"/>
  <c r="E14" i="4"/>
  <c r="D16" i="4"/>
  <c r="C16" i="4"/>
  <c r="B16" i="4"/>
  <c r="H6" i="5" l="1"/>
  <c r="H7" i="5"/>
  <c r="K6" i="5"/>
  <c r="G21" i="4"/>
  <c r="I64" i="4"/>
  <c r="I62" i="4"/>
  <c r="I59" i="4"/>
  <c r="I56" i="4"/>
  <c r="I53" i="4"/>
  <c r="I50" i="4"/>
  <c r="I47" i="4"/>
  <c r="F45" i="4"/>
  <c r="F40" i="4" l="1"/>
  <c r="J21" i="4"/>
  <c r="O40" i="4"/>
  <c r="O38" i="4"/>
  <c r="D66" i="4"/>
  <c r="D63" i="4"/>
  <c r="D60" i="4"/>
  <c r="D57" i="4"/>
  <c r="D54" i="4"/>
  <c r="B35" i="4"/>
  <c r="D51" i="4"/>
  <c r="D48" i="4"/>
  <c r="D44" i="4"/>
  <c r="D39" i="4"/>
  <c r="D35" i="4"/>
  <c r="H13" i="4"/>
  <c r="H16" i="4" s="1"/>
  <c r="K13" i="4"/>
  <c r="E13" i="4"/>
</calcChain>
</file>

<file path=xl/sharedStrings.xml><?xml version="1.0" encoding="utf-8"?>
<sst xmlns="http://schemas.openxmlformats.org/spreadsheetml/2006/main" count="229" uniqueCount="154">
  <si>
    <t>2018/01/01 - 2018/12/31</t>
  </si>
  <si>
    <t>Îãíîî</t>
  </si>
  <si>
    <t>Ìîíãîëáàíêíû òºëñºí ä¿í /òºãðºã/</t>
  </si>
  <si>
    <t>Õàðèëöàã÷äèéí òîî</t>
  </si>
  <si>
    <t>Èðãýäèéí òîî</t>
  </si>
  <si>
    <t>Àæ àõóéí íýãæèéí òîî</t>
  </si>
  <si>
    <t>2018/01</t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</si>
  <si>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</si>
  <si>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</si>
  <si>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</si>
  <si>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</si>
  <si>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</si>
  <si>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</si>
  <si>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</si>
  <si>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</si>
  <si>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</si>
  <si>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</si>
  <si>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</si>
  <si>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Íèéò</t>
  </si>
  <si>
    <t>2019/01/01 - 2019/12/31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</si>
  <si>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</si>
  <si>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</si>
  <si>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</si>
  <si>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</si>
  <si>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</si>
  <si>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</si>
  <si>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</si>
  <si>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</si>
  <si>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</si>
  <si>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</si>
  <si>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</si>
  <si>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</si>
  <si>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</si>
  <si>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</si>
  <si>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</si>
  <si>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ҮНЭТ МЕТАЛЛЫН ХУДАЛДАН АВАЛТЫН САРЫН МЭДЭЭ</t>
  </si>
  <si>
    <r>
      <rPr>
        <b/>
        <sz val="10"/>
        <color theme="1"/>
        <rFont val="Arial Mon"/>
        <family val="2"/>
      </rPr>
      <t xml:space="preserve">Алтны </t>
    </r>
    <r>
      <rPr>
        <b/>
        <sz val="8"/>
        <color theme="1"/>
        <rFont val="Arial Mon"/>
        <family val="2"/>
      </rPr>
      <t>Öýâýð æèí</t>
    </r>
  </si>
  <si>
    <r>
      <t>Èðãýäèéí òóøààñàí</t>
    </r>
    <r>
      <rPr>
        <b/>
        <sz val="9"/>
        <color theme="1"/>
        <rFont val="Arial Mon"/>
        <family val="2"/>
      </rPr>
      <t xml:space="preserve"> </t>
    </r>
    <r>
      <rPr>
        <b/>
        <sz val="10"/>
        <color theme="1"/>
        <rFont val="Arial Mon"/>
        <family val="2"/>
      </rPr>
      <t xml:space="preserve">үнэт металлын </t>
    </r>
    <r>
      <rPr>
        <b/>
        <sz val="8"/>
        <color theme="1"/>
        <rFont val="Arial Mon"/>
        <family val="2"/>
      </rPr>
      <t xml:space="preserve"> áîõèð æèí</t>
    </r>
  </si>
  <si>
    <r>
      <t xml:space="preserve">Èðãýäèéí òóøààñàí </t>
    </r>
    <r>
      <rPr>
        <b/>
        <sz val="10"/>
        <color theme="1"/>
        <rFont val="Arial Mon"/>
        <family val="2"/>
      </rPr>
      <t>үнэт металлын</t>
    </r>
    <r>
      <rPr>
        <b/>
        <sz val="8"/>
        <color theme="1"/>
        <rFont val="Arial Mon"/>
        <family val="2"/>
      </rPr>
      <t xml:space="preserve">  /êã/</t>
    </r>
  </si>
  <si>
    <r>
      <t xml:space="preserve">Àæ àõóéí íýãæèéí òóøààñàí </t>
    </r>
    <r>
      <rPr>
        <b/>
        <sz val="10"/>
        <color theme="1"/>
        <rFont val="Arial Mon"/>
        <family val="2"/>
      </rPr>
      <t>үнэт металлын</t>
    </r>
    <r>
      <rPr>
        <b/>
        <sz val="8"/>
        <color theme="1"/>
        <rFont val="Arial Mon"/>
        <family val="2"/>
      </rPr>
      <t xml:space="preserve">  áîõèð æèí</t>
    </r>
  </si>
  <si>
    <r>
      <t xml:space="preserve">Àæ àõóéí íýãæèéí òóøààñàí </t>
    </r>
    <r>
      <rPr>
        <b/>
        <sz val="10"/>
        <color theme="1"/>
        <rFont val="Arial Mon"/>
        <family val="2"/>
      </rPr>
      <t>үнэт металлы</t>
    </r>
    <r>
      <rPr>
        <b/>
        <sz val="8"/>
        <color theme="1"/>
        <rFont val="Arial Mon"/>
        <family val="2"/>
      </rPr>
      <t>н  /êã/</t>
    </r>
  </si>
  <si>
    <r>
      <rPr>
        <b/>
        <sz val="10"/>
        <color theme="1"/>
        <rFont val="Arial Mon"/>
        <family val="2"/>
      </rPr>
      <t>Үнэт металлын</t>
    </r>
    <r>
      <rPr>
        <b/>
        <sz val="8"/>
        <color theme="1"/>
        <rFont val="Arial Mon"/>
        <family val="2"/>
      </rPr>
      <t xml:space="preserve"> Áîõèð æèí</t>
    </r>
  </si>
  <si>
    <t>2020/04</t>
  </si>
  <si>
    <t>2020/05</t>
  </si>
  <si>
    <t>2020/06</t>
  </si>
  <si>
    <t>2020/07</t>
  </si>
  <si>
    <t>2020/08</t>
  </si>
  <si>
    <t>2020/01/01 - 2020/09/30</t>
  </si>
  <si>
    <t>Áîõèð æèí</t>
  </si>
  <si>
    <t>Öýâýð æèí</t>
  </si>
  <si>
    <t>Èðãýäèéí òóøààñàí àëòíû áîõèð æèí</t>
  </si>
  <si>
    <t>Èðãýäèéí òóøààñàí àëò /êã/</t>
  </si>
  <si>
    <t>Àæ àõóéí íýãæèéí òóøààñàí àëòíû áîõèð æèí</t>
  </si>
  <si>
    <t>Àæ àõóéí íýãæèéí òóøààñàí àëò /êã/</t>
  </si>
  <si>
    <t>2020/09</t>
  </si>
  <si>
    <t>2020/10</t>
  </si>
  <si>
    <t>удалдан авсан үнэт металлын жин, тонн</t>
  </si>
  <si>
    <t>Худалдан авсан үнэт металлын дүн</t>
  </si>
  <si>
    <t>Худалдан авсан алтны жин, тонн</t>
  </si>
  <si>
    <t>Худалдан авсан алтны дүн</t>
  </si>
  <si>
    <t>2020/11</t>
  </si>
  <si>
    <t>2020/12</t>
  </si>
  <si>
    <t>2021/01</t>
  </si>
  <si>
    <t>January</t>
  </si>
  <si>
    <t>2021/02</t>
  </si>
  <si>
    <t>February</t>
  </si>
  <si>
    <t>AA</t>
  </si>
  <si>
    <t>IND</t>
  </si>
  <si>
    <t>2021/03</t>
  </si>
  <si>
    <t>2021/04</t>
  </si>
  <si>
    <t>2021/05</t>
  </si>
  <si>
    <t>2021/06</t>
  </si>
  <si>
    <t>2021/07</t>
  </si>
  <si>
    <t>2021/08</t>
  </si>
  <si>
    <t>2021/09</t>
  </si>
  <si>
    <t>2021/10</t>
  </si>
  <si>
    <t>2021/11</t>
  </si>
  <si>
    <t>2021/12</t>
  </si>
  <si>
    <t>2021/01/01 - 2021/012/31</t>
  </si>
  <si>
    <t>2022/01</t>
  </si>
  <si>
    <t>Алт</t>
  </si>
  <si>
    <t>Мөнгө</t>
  </si>
  <si>
    <t>Нийт төлсөн мөнгө</t>
  </si>
  <si>
    <t>2022/02</t>
  </si>
  <si>
    <t>Нийт</t>
  </si>
  <si>
    <t>2022/03</t>
  </si>
  <si>
    <t>2022/04</t>
  </si>
  <si>
    <t>2022/01/01 - 2022/12/31</t>
  </si>
  <si>
    <t>2022/05</t>
  </si>
  <si>
    <t>2022/06</t>
  </si>
  <si>
    <t>2022/07</t>
  </si>
  <si>
    <t>2022/08</t>
  </si>
  <si>
    <t>2022/09</t>
  </si>
  <si>
    <t>2022/10</t>
  </si>
  <si>
    <t>2022/11</t>
  </si>
  <si>
    <t>2022/12</t>
  </si>
  <si>
    <t>Огноо</t>
  </si>
  <si>
    <t>Бохир жин</t>
  </si>
  <si>
    <t>Цэвэр жин</t>
  </si>
  <si>
    <t>Монголбанкны төлсөн дүн</t>
  </si>
  <si>
    <t>Харилцагчийн тоо</t>
  </si>
  <si>
    <t>Иргэдийн тоо</t>
  </si>
  <si>
    <t>Иргэдийн тушаасан алтны бохир жин</t>
  </si>
  <si>
    <t>Иргэдийн тушаасан алт /кг/</t>
  </si>
  <si>
    <t>Аж ахуйн нэгжийн тоо</t>
  </si>
  <si>
    <t>Аж ахуйн нэгжийн тушаасан алтны бохир жин</t>
  </si>
  <si>
    <t>Аж ахуйн нэгжийн тушаасан алт /кг/</t>
  </si>
  <si>
    <t>2023/01</t>
  </si>
  <si>
    <t>Нийт төлсөн төгрөг</t>
  </si>
  <si>
    <t>2023/02</t>
  </si>
  <si>
    <t>2023/03</t>
  </si>
  <si>
    <t>2023/04</t>
  </si>
  <si>
    <t>2023/05</t>
  </si>
  <si>
    <t>2023/06</t>
  </si>
  <si>
    <t>2023/07</t>
  </si>
  <si>
    <t>2023/08</t>
  </si>
  <si>
    <t>2023/09</t>
  </si>
  <si>
    <t>2023/10</t>
  </si>
  <si>
    <t>2023/11</t>
  </si>
  <si>
    <t>2023/12</t>
  </si>
  <si>
    <t>2023/01/01 - 2023/12/31</t>
  </si>
  <si>
    <t>2024/01</t>
  </si>
  <si>
    <t>2024/02</t>
  </si>
  <si>
    <t>2024/03</t>
  </si>
  <si>
    <t>2024/04</t>
  </si>
  <si>
    <t>2024/05</t>
  </si>
  <si>
    <t>2024/06</t>
  </si>
  <si>
    <t>2024/07</t>
  </si>
  <si>
    <t>2024/08</t>
  </si>
  <si>
    <t>2024/09</t>
  </si>
  <si>
    <t>2024/10</t>
  </si>
  <si>
    <t>2024/11</t>
  </si>
  <si>
    <t>2024/12</t>
  </si>
  <si>
    <t>2024/01/01 - 2024/12/31</t>
  </si>
  <si>
    <t>2025/01</t>
  </si>
  <si>
    <t>2025/02</t>
  </si>
  <si>
    <t>2025/03</t>
  </si>
  <si>
    <t>2025/04</t>
  </si>
  <si>
    <t>2025/05</t>
  </si>
  <si>
    <t>2025/06</t>
  </si>
  <si>
    <t>2025/07</t>
  </si>
  <si>
    <t>2025/08</t>
  </si>
  <si>
    <t>2025/09</t>
  </si>
  <si>
    <t>2025/10</t>
  </si>
  <si>
    <t>2025/11</t>
  </si>
  <si>
    <t>2025/12</t>
  </si>
  <si>
    <t>Иргэдийн тушаасан үнэт металлын бохир жин</t>
  </si>
  <si>
    <t>Иргэдийн тушаасан үнэт металл /кг/</t>
  </si>
  <si>
    <t>Аж ахуйн нэгжийн тушаасан үнэт металлын бохир жин</t>
  </si>
  <si>
    <t>Аж ахуйн нэгжийн тушаасан үнэт металл /кг/</t>
  </si>
  <si>
    <t xml:space="preserve"> </t>
  </si>
  <si>
    <t>2025/01/01 - 2025/02/28</t>
  </si>
  <si>
    <t>Бохир жин /үнэт металл/</t>
  </si>
  <si>
    <t>Цэвэр жин /алт/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</si>
</sst>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#,##0.00"/>
    <numFmt numFmtId="167" formatCode="_-* #,##0.00_-;\-* #,##0.00_-;_-* &quot;-&quot;_-;_-@_-"/>
    <numFmt numFmtId="168" formatCode="#,##0.000000"/>
    <numFmt numFmtId="169" formatCode="#,##0.0000"/>
    <numFmt numFmtId="170" formatCode="#,##0.0"/>
    <numFmt numFmtId="172" formatCode="##,##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 Mon"/>
      <family val="2"/>
    </font>
    <font>
      <b/>
      <sz val="8"/>
      <color theme="1"/>
      <name val="Arial Mon"/>
      <family val="2"/>
    </font>
    <font>
      <b/>
      <sz val="10"/>
      <color theme="1"/>
      <name val="Arial Mon"/>
      <family val="2"/>
    </font>
    <font>
      <b/>
      <sz val="9"/>
      <color theme="1"/>
      <name val="Arial Mon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9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67" fontId="0" fillId="0" borderId="0" xfId="1" applyNumberFormat="1" applyFont="1"/>
    <xf numFmtId="167" fontId="0" fillId="0" borderId="0" xfId="0" applyNumberFormat="1"/>
    <xf numFmtId="165" fontId="0" fillId="0" borderId="0" xfId="0" applyNumberFormat="1"/>
    <xf numFmtId="165" fontId="6" fillId="0" borderId="0" xfId="0" applyNumberFormat="1" applyFont="1"/>
    <xf numFmtId="43" fontId="0" fillId="0" borderId="0" xfId="2" applyFont="1"/>
    <xf numFmtId="43" fontId="0" fillId="0" borderId="0" xfId="0" applyNumberFormat="1"/>
    <xf numFmtId="43" fontId="6" fillId="0" borderId="0" xfId="0" applyNumberFormat="1" applyFont="1"/>
    <xf numFmtId="43" fontId="6" fillId="0" borderId="0" xfId="2" applyFont="1"/>
    <xf numFmtId="2" fontId="0" fillId="0" borderId="0" xfId="0" applyNumberFormat="1"/>
    <xf numFmtId="0" fontId="0" fillId="0" borderId="1" xfId="0" applyBorder="1"/>
    <xf numFmtId="166" fontId="0" fillId="0" borderId="1" xfId="0" applyNumberFormat="1" applyBorder="1"/>
    <xf numFmtId="43" fontId="0" fillId="0" borderId="1" xfId="2" applyFont="1" applyBorder="1"/>
    <xf numFmtId="43" fontId="0" fillId="0" borderId="1" xfId="0" applyNumberFormat="1" applyBorder="1"/>
    <xf numFmtId="4" fontId="0" fillId="0" borderId="0" xfId="0" applyNumberFormat="1"/>
    <xf numFmtId="168" fontId="0" fillId="0" borderId="0" xfId="0" applyNumberFormat="1"/>
    <xf numFmtId="169" fontId="0" fillId="0" borderId="0" xfId="0" applyNumberFormat="1"/>
    <xf numFmtId="49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right" vertical="center"/>
    </xf>
    <xf numFmtId="166" fontId="1" fillId="0" borderId="2" xfId="0" applyNumberFormat="1" applyFont="1" applyBorder="1" applyAlignment="1">
      <alignment horizontal="right" vertical="center"/>
    </xf>
    <xf numFmtId="9" fontId="0" fillId="0" borderId="0" xfId="3" applyFont="1"/>
    <xf numFmtId="166" fontId="0" fillId="0" borderId="0" xfId="0" applyNumberFormat="1"/>
    <xf numFmtId="170" fontId="0" fillId="0" borderId="0" xfId="0" applyNumberFormat="1"/>
    <xf numFmtId="0" fontId="9" fillId="0" borderId="0" xfId="0" applyFont="1"/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166" fontId="9" fillId="0" borderId="1" xfId="0" applyNumberFormat="1" applyFont="1" applyBorder="1" applyAlignment="1">
      <alignment horizontal="right" vertical="center"/>
    </xf>
    <xf numFmtId="43" fontId="9" fillId="0" borderId="1" xfId="2" applyFont="1" applyBorder="1"/>
    <xf numFmtId="0" fontId="8" fillId="0" borderId="1" xfId="0" applyFont="1" applyBorder="1"/>
    <xf numFmtId="166" fontId="8" fillId="0" borderId="1" xfId="0" applyNumberFormat="1" applyFont="1" applyBorder="1"/>
    <xf numFmtId="4" fontId="9" fillId="0" borderId="0" xfId="0" applyNumberFormat="1" applyFont="1"/>
    <xf numFmtId="3" fontId="9" fillId="0" borderId="0" xfId="0" applyNumberFormat="1" applyFont="1"/>
    <xf numFmtId="0" fontId="1" fillId="0" borderId="0" xfId="0" applyFont="1"/>
    <xf numFmtId="43" fontId="1" fillId="0" borderId="1" xfId="2" applyFont="1" applyBorder="1"/>
    <xf numFmtId="0" fontId="2" fillId="0" borderId="1" xfId="0" applyFont="1" applyBorder="1"/>
    <xf numFmtId="166" fontId="2" fillId="0" borderId="1" xfId="0" applyNumberFormat="1" applyFont="1" applyBorder="1"/>
    <xf numFmtId="170" fontId="1" fillId="0" borderId="0" xfId="0" applyNumberFormat="1" applyFont="1"/>
    <xf numFmtId="166" fontId="1" fillId="0" borderId="0" xfId="0" applyNumberFormat="1" applyFont="1"/>
    <xf numFmtId="43" fontId="1" fillId="0" borderId="0" xfId="0" applyNumberFormat="1" applyFont="1"/>
    <xf numFmtId="43" fontId="1" fillId="0" borderId="0" xfId="2" applyFont="1"/>
    <xf numFmtId="43" fontId="9" fillId="0" borderId="1" xfId="2" applyFont="1" applyBorder="1" applyAlignment="1">
      <alignment horizontal="right" vertical="center"/>
    </xf>
    <xf numFmtId="43" fontId="9" fillId="0" borderId="0" xfId="0" applyNumberFormat="1" applyFont="1"/>
    <xf numFmtId="49" fontId="10" fillId="0" borderId="1" xfId="0" applyNumberFormat="1" applyFont="1" applyBorder="1" applyAlignment="1">
      <alignment horizontal="left" vertical="center"/>
    </xf>
    <xf numFmtId="166" fontId="10" fillId="0" borderId="1" xfId="0" applyNumberFormat="1" applyFont="1" applyBorder="1" applyAlignment="1">
      <alignment horizontal="right" vertical="center"/>
    </xf>
    <xf numFmtId="43" fontId="9" fillId="0" borderId="1" xfId="2" applyFont="1" applyBorder="1" applyAlignment="1">
      <alignment vertical="center"/>
    </xf>
    <xf numFmtId="43" fontId="9" fillId="0" borderId="1" xfId="2" applyFont="1" applyFill="1" applyBorder="1" applyAlignment="1">
      <alignment horizontal="right" vertical="center"/>
    </xf>
    <xf numFmtId="43" fontId="10" fillId="0" borderId="1" xfId="2" applyFont="1" applyFill="1" applyBorder="1" applyAlignment="1">
      <alignment horizontal="right" vertical="center"/>
    </xf>
    <xf numFmtId="166" fontId="11" fillId="0" borderId="1" xfId="0" applyNumberFormat="1" applyFont="1" applyBorder="1" applyAlignment="1">
      <alignment horizontal="right" vertical="center"/>
    </xf>
    <xf numFmtId="170" fontId="9" fillId="0" borderId="0" xfId="0" applyNumberFormat="1" applyFont="1"/>
    <xf numFmtId="0" fontId="12" fillId="0" borderId="0" xfId="0" applyFont="1"/>
    <xf numFmtId="43" fontId="12" fillId="0" borderId="0" xfId="0" applyNumberFormat="1" applyFont="1"/>
    <xf numFmtId="166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43" fontId="9" fillId="0" borderId="0" xfId="2" applyFont="1" applyBorder="1"/>
    <xf numFmtId="43" fontId="10" fillId="0" borderId="1" xfId="2" applyFont="1" applyBorder="1" applyAlignment="1">
      <alignment vertical="center"/>
    </xf>
    <xf numFmtId="43" fontId="10" fillId="0" borderId="1" xfId="2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72" fontId="10" fillId="0" borderId="1" xfId="0" applyNumberFormat="1" applyFont="1" applyBorder="1" applyAlignment="1">
      <alignment horizontal="right" vertical="center"/>
    </xf>
    <xf numFmtId="166" fontId="13" fillId="0" borderId="1" xfId="0" applyNumberFormat="1" applyFont="1" applyBorder="1" applyAlignment="1">
      <alignment horizontal="right" vertical="center"/>
    </xf>
    <xf numFmtId="43" fontId="10" fillId="0" borderId="1" xfId="2" applyFont="1" applyBorder="1"/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workbookViewId="0">
      <selection sqref="A1:XFD1048576"/>
    </sheetView>
  </sheetViews>
  <sheetFormatPr defaultRowHeight="15" x14ac:dyDescent="0.25"/>
  <cols>
    <col min="1" max="1" width="6.5703125" bestFit="1" customWidth="1"/>
    <col min="2" max="2" width="10.85546875" bestFit="1" customWidth="1"/>
    <col min="3" max="3" width="12.42578125" bestFit="1" customWidth="1"/>
    <col min="4" max="4" width="19.28515625" bestFit="1" customWidth="1"/>
    <col min="5" max="5" width="9" bestFit="1" customWidth="1"/>
    <col min="6" max="6" width="8.7109375" bestFit="1" customWidth="1"/>
    <col min="7" max="7" width="12.5703125" bestFit="1" customWidth="1"/>
    <col min="8" max="8" width="9.140625" bestFit="1" customWidth="1"/>
    <col min="9" max="9" width="8.28515625" bestFit="1" customWidth="1"/>
    <col min="10" max="10" width="12.5703125" bestFit="1" customWidth="1"/>
  </cols>
  <sheetData>
    <row r="1" spans="1:11" x14ac:dyDescent="0.25">
      <c r="A1" s="63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25">
      <c r="A2" s="63" t="s">
        <v>0</v>
      </c>
      <c r="B2" s="63"/>
      <c r="C2" s="63"/>
    </row>
    <row r="3" spans="1:11" ht="67.5" x14ac:dyDescent="0.25">
      <c r="A3" s="1" t="s">
        <v>1</v>
      </c>
      <c r="B3" s="1" t="s">
        <v>41</v>
      </c>
      <c r="C3" s="2" t="s">
        <v>36</v>
      </c>
      <c r="D3" s="2" t="s">
        <v>2</v>
      </c>
      <c r="E3" s="2" t="s">
        <v>3</v>
      </c>
      <c r="F3" s="2" t="s">
        <v>4</v>
      </c>
      <c r="G3" s="2" t="s">
        <v>37</v>
      </c>
      <c r="H3" s="2" t="s">
        <v>38</v>
      </c>
      <c r="I3" s="2" t="s">
        <v>5</v>
      </c>
      <c r="J3" s="2" t="s">
        <v>39</v>
      </c>
      <c r="K3" s="2" t="s">
        <v>40</v>
      </c>
    </row>
    <row r="4" spans="1:11" x14ac:dyDescent="0.25">
      <c r="A4" s="3" t="s">
        <v>6</v>
      </c>
      <c r="B4" s="4">
        <v>1128679</v>
      </c>
      <c r="C4" s="4">
        <v>936716.68</v>
      </c>
      <c r="D4" s="4">
        <v>96779055719.399994</v>
      </c>
      <c r="E4" s="4">
        <v>56</v>
      </c>
      <c r="F4" s="4">
        <v>40</v>
      </c>
      <c r="G4" s="4">
        <v>662805.4</v>
      </c>
      <c r="H4" s="4">
        <v>662.80539999999996</v>
      </c>
      <c r="I4" s="4">
        <v>16</v>
      </c>
      <c r="J4" s="4">
        <v>465873.6</v>
      </c>
      <c r="K4" s="4">
        <v>465.87360000000001</v>
      </c>
    </row>
    <row r="5" spans="1:11" x14ac:dyDescent="0.25">
      <c r="A5" s="3" t="s">
        <v>7</v>
      </c>
      <c r="B5" s="4">
        <v>438651.4</v>
      </c>
      <c r="C5" s="4">
        <v>362862.26</v>
      </c>
      <c r="D5" s="4">
        <v>37360420014.910004</v>
      </c>
      <c r="E5" s="4">
        <v>33</v>
      </c>
      <c r="F5" s="4">
        <v>23</v>
      </c>
      <c r="G5" s="4">
        <v>285291.59999999998</v>
      </c>
      <c r="H5" s="4">
        <v>285.29160000000002</v>
      </c>
      <c r="I5" s="4">
        <v>10</v>
      </c>
      <c r="J5" s="4">
        <v>153359.79999999999</v>
      </c>
      <c r="K5" s="4">
        <v>153.35980000000001</v>
      </c>
    </row>
    <row r="6" spans="1:11" x14ac:dyDescent="0.25">
      <c r="A6" s="3" t="s">
        <v>8</v>
      </c>
      <c r="B6" s="4">
        <v>734439.9</v>
      </c>
      <c r="C6" s="4">
        <v>635894.86</v>
      </c>
      <c r="D6" s="4">
        <v>64979771849.529999</v>
      </c>
      <c r="E6" s="4">
        <v>43</v>
      </c>
      <c r="F6" s="4">
        <v>30</v>
      </c>
      <c r="G6" s="4">
        <v>419646.9</v>
      </c>
      <c r="H6" s="4">
        <v>419.64690000000002</v>
      </c>
      <c r="I6" s="4">
        <v>13</v>
      </c>
      <c r="J6" s="4">
        <v>314793</v>
      </c>
      <c r="K6" s="4">
        <v>314.79300000000001</v>
      </c>
    </row>
    <row r="7" spans="1:11" x14ac:dyDescent="0.25">
      <c r="A7" s="3" t="s">
        <v>9</v>
      </c>
      <c r="B7" s="4">
        <v>988804.8</v>
      </c>
      <c r="C7" s="4">
        <v>873355.7</v>
      </c>
      <c r="D7" s="4">
        <v>89934303906.779999</v>
      </c>
      <c r="E7" s="4">
        <v>46</v>
      </c>
      <c r="F7" s="4">
        <v>23</v>
      </c>
      <c r="G7" s="4">
        <v>686158.2</v>
      </c>
      <c r="H7" s="4">
        <v>686.15819999999997</v>
      </c>
      <c r="I7" s="4">
        <v>23</v>
      </c>
      <c r="J7" s="4">
        <v>302646.59999999998</v>
      </c>
      <c r="K7" s="4">
        <v>302.64659999999998</v>
      </c>
    </row>
    <row r="8" spans="1:11" x14ac:dyDescent="0.25">
      <c r="A8" s="3" t="s">
        <v>10</v>
      </c>
      <c r="B8" s="4">
        <v>1661102.8</v>
      </c>
      <c r="C8" s="4">
        <v>1465971.31</v>
      </c>
      <c r="D8" s="4">
        <v>148095719830.64999</v>
      </c>
      <c r="E8" s="4">
        <v>87</v>
      </c>
      <c r="F8" s="4">
        <v>34</v>
      </c>
      <c r="G8" s="4">
        <v>860754.4</v>
      </c>
      <c r="H8" s="4">
        <v>860.75440000000003</v>
      </c>
      <c r="I8" s="4">
        <v>53</v>
      </c>
      <c r="J8" s="4">
        <v>800348.4</v>
      </c>
      <c r="K8" s="4">
        <v>800.34839999999997</v>
      </c>
    </row>
    <row r="9" spans="1:11" x14ac:dyDescent="0.25">
      <c r="A9" s="3" t="s">
        <v>11</v>
      </c>
      <c r="B9" s="4">
        <v>2182388.7999999998</v>
      </c>
      <c r="C9" s="4">
        <v>1909131.44</v>
      </c>
      <c r="D9" s="4">
        <v>191276387961.42999</v>
      </c>
      <c r="E9" s="4">
        <v>102</v>
      </c>
      <c r="F9" s="4">
        <v>34</v>
      </c>
      <c r="G9" s="4">
        <v>1145685.3999999999</v>
      </c>
      <c r="H9" s="4">
        <v>1145.6854000000001</v>
      </c>
      <c r="I9" s="4">
        <v>68</v>
      </c>
      <c r="J9" s="4">
        <v>1036703.4</v>
      </c>
      <c r="K9" s="4">
        <v>1036.7034000000001</v>
      </c>
    </row>
    <row r="10" spans="1:11" x14ac:dyDescent="0.25">
      <c r="A10" s="3" t="s">
        <v>12</v>
      </c>
      <c r="B10" s="4">
        <v>2206026.9</v>
      </c>
      <c r="C10" s="4">
        <v>1924772.21</v>
      </c>
      <c r="D10" s="4">
        <v>188854673871.17999</v>
      </c>
      <c r="E10" s="4">
        <v>108</v>
      </c>
      <c r="F10" s="4">
        <v>39</v>
      </c>
      <c r="G10" s="4">
        <v>1012860.6</v>
      </c>
      <c r="H10" s="4">
        <v>1012.8606</v>
      </c>
      <c r="I10" s="4">
        <v>69</v>
      </c>
      <c r="J10" s="4">
        <v>1193166.3</v>
      </c>
      <c r="K10" s="4">
        <v>1193.1663000000001</v>
      </c>
    </row>
    <row r="11" spans="1:11" x14ac:dyDescent="0.25">
      <c r="A11" s="3" t="s">
        <v>13</v>
      </c>
      <c r="B11" s="4">
        <v>2866490.4</v>
      </c>
      <c r="C11" s="4">
        <v>2464922.66</v>
      </c>
      <c r="D11" s="4">
        <v>235019444631.79001</v>
      </c>
      <c r="E11" s="4">
        <v>119</v>
      </c>
      <c r="F11" s="4">
        <v>46</v>
      </c>
      <c r="G11" s="4">
        <v>1607103.4</v>
      </c>
      <c r="H11" s="4">
        <v>1607.1034</v>
      </c>
      <c r="I11" s="4">
        <v>73</v>
      </c>
      <c r="J11" s="4">
        <v>1259387</v>
      </c>
      <c r="K11" s="4">
        <v>1259.3869999999999</v>
      </c>
    </row>
    <row r="12" spans="1:11" x14ac:dyDescent="0.25">
      <c r="A12" s="3" t="s">
        <v>14</v>
      </c>
      <c r="B12" s="4">
        <v>2122759.7000000002</v>
      </c>
      <c r="C12" s="4">
        <v>1857046.85</v>
      </c>
      <c r="D12" s="4">
        <v>178695927704.89999</v>
      </c>
      <c r="E12" s="4">
        <v>102</v>
      </c>
      <c r="F12" s="4">
        <v>35</v>
      </c>
      <c r="G12" s="4">
        <v>1353372.2</v>
      </c>
      <c r="H12" s="4">
        <v>1353.3722</v>
      </c>
      <c r="I12" s="4">
        <v>67</v>
      </c>
      <c r="J12" s="4">
        <v>769387.5</v>
      </c>
      <c r="K12" s="4">
        <v>769.38750000000005</v>
      </c>
    </row>
    <row r="13" spans="1:11" x14ac:dyDescent="0.25">
      <c r="A13" s="3" t="s">
        <v>15</v>
      </c>
      <c r="B13" s="4">
        <v>3429067</v>
      </c>
      <c r="C13" s="4">
        <v>2960975.45</v>
      </c>
      <c r="D13" s="4">
        <v>296905988817.57001</v>
      </c>
      <c r="E13" s="4">
        <v>145</v>
      </c>
      <c r="F13" s="4">
        <v>72</v>
      </c>
      <c r="G13" s="4">
        <v>2166192.5</v>
      </c>
      <c r="H13" s="4">
        <v>2166.1925000000001</v>
      </c>
      <c r="I13" s="4">
        <v>73</v>
      </c>
      <c r="J13" s="4">
        <v>1262874.5</v>
      </c>
      <c r="K13" s="4">
        <v>1262.8744999999999</v>
      </c>
    </row>
    <row r="14" spans="1:11" x14ac:dyDescent="0.25">
      <c r="A14" s="3" t="s">
        <v>16</v>
      </c>
      <c r="B14" s="4">
        <v>1184446.5</v>
      </c>
      <c r="C14" s="4">
        <v>1019888.15</v>
      </c>
      <c r="D14" s="4">
        <v>103072561132.10001</v>
      </c>
      <c r="E14" s="4">
        <v>80</v>
      </c>
      <c r="F14" s="4">
        <v>38</v>
      </c>
      <c r="G14" s="4">
        <v>716110.5</v>
      </c>
      <c r="H14" s="4">
        <v>716.1105</v>
      </c>
      <c r="I14" s="4">
        <v>42</v>
      </c>
      <c r="J14" s="4">
        <v>468336</v>
      </c>
      <c r="K14" s="4">
        <v>468.33600000000001</v>
      </c>
    </row>
    <row r="15" spans="1:11" x14ac:dyDescent="0.25">
      <c r="A15" s="3" t="s">
        <v>17</v>
      </c>
      <c r="B15" s="4">
        <v>2928657.7</v>
      </c>
      <c r="C15" s="4">
        <v>1938125.75</v>
      </c>
      <c r="D15" s="4">
        <v>205786820186.82001</v>
      </c>
      <c r="E15" s="4">
        <v>92</v>
      </c>
      <c r="F15" s="4">
        <v>58</v>
      </c>
      <c r="G15" s="4">
        <v>1591365.8</v>
      </c>
      <c r="H15" s="4">
        <v>1591.3658</v>
      </c>
      <c r="I15" s="4">
        <v>35</v>
      </c>
      <c r="J15" s="4">
        <v>1337291.8999999999</v>
      </c>
      <c r="K15" s="4">
        <v>1337.2918999999999</v>
      </c>
    </row>
    <row r="16" spans="1:11" x14ac:dyDescent="0.25">
      <c r="A16" s="5" t="s">
        <v>18</v>
      </c>
      <c r="B16" s="6">
        <v>21871514.899999999</v>
      </c>
      <c r="C16" s="6">
        <v>18349663.32</v>
      </c>
      <c r="D16" s="6">
        <v>1836761075627.0601</v>
      </c>
      <c r="E16" s="17"/>
      <c r="F16" s="17"/>
      <c r="G16" s="6">
        <v>12507346.9</v>
      </c>
      <c r="H16" s="6">
        <v>12507.3469</v>
      </c>
      <c r="I16" s="17"/>
      <c r="J16" s="6">
        <v>9364168</v>
      </c>
      <c r="K16" s="6">
        <v>9364.1679999999997</v>
      </c>
    </row>
  </sheetData>
  <mergeCells count="2">
    <mergeCell ref="A1:K1"/>
    <mergeCell ref="A2:C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>
      <selection activeCell="F21" sqref="F21"/>
    </sheetView>
  </sheetViews>
  <sheetFormatPr defaultRowHeight="15" x14ac:dyDescent="0.25"/>
  <cols>
    <col min="1" max="1" width="6.5703125" bestFit="1" customWidth="1"/>
    <col min="2" max="2" width="10.85546875" bestFit="1" customWidth="1"/>
    <col min="3" max="3" width="12.42578125" bestFit="1" customWidth="1"/>
    <col min="4" max="4" width="19.28515625" bestFit="1" customWidth="1"/>
    <col min="5" max="5" width="9" bestFit="1" customWidth="1"/>
    <col min="6" max="6" width="8.7109375" bestFit="1" customWidth="1"/>
    <col min="7" max="7" width="12.5703125" bestFit="1" customWidth="1"/>
    <col min="9" max="9" width="8.28515625" bestFit="1" customWidth="1"/>
    <col min="10" max="10" width="12.5703125" bestFit="1" customWidth="1"/>
  </cols>
  <sheetData>
    <row r="1" spans="1:11" x14ac:dyDescent="0.25">
      <c r="A1" s="63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25">
      <c r="A2" s="63" t="s">
        <v>19</v>
      </c>
      <c r="B2" s="63"/>
      <c r="C2" s="63"/>
    </row>
    <row r="3" spans="1:11" ht="67.5" x14ac:dyDescent="0.25">
      <c r="A3" s="1" t="s">
        <v>1</v>
      </c>
      <c r="B3" s="1" t="s">
        <v>41</v>
      </c>
      <c r="C3" s="2" t="s">
        <v>36</v>
      </c>
      <c r="D3" s="2" t="s">
        <v>2</v>
      </c>
      <c r="E3" s="2" t="s">
        <v>3</v>
      </c>
      <c r="F3" s="2" t="s">
        <v>4</v>
      </c>
      <c r="G3" s="2" t="s">
        <v>37</v>
      </c>
      <c r="H3" s="2" t="s">
        <v>38</v>
      </c>
      <c r="I3" s="2" t="s">
        <v>5</v>
      </c>
      <c r="J3" s="2" t="s">
        <v>39</v>
      </c>
      <c r="K3" s="2" t="s">
        <v>40</v>
      </c>
    </row>
    <row r="4" spans="1:11" x14ac:dyDescent="0.25">
      <c r="A4" s="3" t="s">
        <v>20</v>
      </c>
      <c r="B4" s="4">
        <v>597128.19999999995</v>
      </c>
      <c r="C4" s="4">
        <v>533601.14</v>
      </c>
      <c r="D4" s="4">
        <v>58785909819.269997</v>
      </c>
      <c r="E4" s="4">
        <v>37</v>
      </c>
      <c r="F4" s="4">
        <v>26</v>
      </c>
      <c r="G4" s="4">
        <v>422721</v>
      </c>
      <c r="H4" s="4">
        <v>422.721</v>
      </c>
      <c r="I4" s="4">
        <v>11</v>
      </c>
      <c r="J4" s="4">
        <v>174407.2</v>
      </c>
      <c r="K4" s="4">
        <v>174.40719999999999</v>
      </c>
    </row>
    <row r="5" spans="1:11" x14ac:dyDescent="0.25">
      <c r="A5" s="3" t="s">
        <v>21</v>
      </c>
      <c r="B5" s="4">
        <v>95956.4</v>
      </c>
      <c r="C5" s="4">
        <v>87398.56</v>
      </c>
      <c r="D5" s="4">
        <v>9761816359.1000004</v>
      </c>
      <c r="E5" s="4">
        <v>20</v>
      </c>
      <c r="F5" s="4">
        <v>13</v>
      </c>
      <c r="G5" s="4">
        <v>30621.200000000001</v>
      </c>
      <c r="H5" s="4">
        <v>30.621200000000002</v>
      </c>
      <c r="I5" s="4">
        <v>7</v>
      </c>
      <c r="J5" s="4">
        <v>65335.199999999997</v>
      </c>
      <c r="K5" s="4">
        <v>65.3352</v>
      </c>
    </row>
    <row r="6" spans="1:11" x14ac:dyDescent="0.25">
      <c r="A6" s="3" t="s">
        <v>22</v>
      </c>
      <c r="B6" s="4">
        <v>539790.6</v>
      </c>
      <c r="C6" s="4">
        <v>83159.13</v>
      </c>
      <c r="D6" s="4">
        <v>9174189586.4699993</v>
      </c>
      <c r="E6" s="4">
        <v>24</v>
      </c>
      <c r="F6" s="4">
        <v>12</v>
      </c>
      <c r="G6" s="4">
        <v>33896.1</v>
      </c>
      <c r="H6" s="4">
        <v>33.896099999999997</v>
      </c>
      <c r="I6" s="4">
        <v>12</v>
      </c>
      <c r="J6" s="4">
        <v>505894.5</v>
      </c>
      <c r="K6" s="4">
        <v>505.89449999999999</v>
      </c>
    </row>
    <row r="7" spans="1:11" x14ac:dyDescent="0.25">
      <c r="A7" s="3" t="s">
        <v>23</v>
      </c>
      <c r="B7" s="4">
        <v>1089795.6000000001</v>
      </c>
      <c r="C7" s="4">
        <v>905683.79</v>
      </c>
      <c r="D7" s="4">
        <v>98831012660.580002</v>
      </c>
      <c r="E7" s="4">
        <v>42</v>
      </c>
      <c r="F7" s="4">
        <v>27</v>
      </c>
      <c r="G7" s="4">
        <v>678366.1</v>
      </c>
      <c r="H7" s="4">
        <v>678.36609999999996</v>
      </c>
      <c r="I7" s="4">
        <v>15</v>
      </c>
      <c r="J7" s="4">
        <v>411429.5</v>
      </c>
      <c r="K7" s="4">
        <v>411.42950000000002</v>
      </c>
    </row>
    <row r="8" spans="1:11" x14ac:dyDescent="0.25">
      <c r="A8" s="3" t="s">
        <v>24</v>
      </c>
      <c r="B8" s="4">
        <v>1877413.3</v>
      </c>
      <c r="C8" s="4">
        <v>1657068.44</v>
      </c>
      <c r="D8" s="4">
        <v>181025223212.04001</v>
      </c>
      <c r="E8" s="4">
        <v>88</v>
      </c>
      <c r="F8" s="4">
        <v>46</v>
      </c>
      <c r="G8" s="4">
        <v>1150505.1000000001</v>
      </c>
      <c r="H8" s="4">
        <v>1150.5051000000001</v>
      </c>
      <c r="I8" s="4">
        <v>42</v>
      </c>
      <c r="J8" s="4">
        <v>726908.2</v>
      </c>
      <c r="K8" s="4">
        <v>726.90819999999997</v>
      </c>
    </row>
    <row r="9" spans="1:11" x14ac:dyDescent="0.25">
      <c r="A9" s="3" t="s">
        <v>25</v>
      </c>
      <c r="B9" s="4">
        <v>1786613.3</v>
      </c>
      <c r="C9" s="4">
        <v>1533818.15</v>
      </c>
      <c r="D9" s="4">
        <v>178512217625.60999</v>
      </c>
      <c r="E9" s="4">
        <v>105</v>
      </c>
      <c r="F9" s="4">
        <v>52</v>
      </c>
      <c r="G9" s="4">
        <v>931797.6</v>
      </c>
      <c r="H9" s="4">
        <v>931.79759999999999</v>
      </c>
      <c r="I9" s="4">
        <v>53</v>
      </c>
      <c r="J9" s="4">
        <v>854815.7</v>
      </c>
      <c r="K9" s="4">
        <v>854.81569999999999</v>
      </c>
    </row>
    <row r="10" spans="1:11" x14ac:dyDescent="0.25">
      <c r="A10" s="3" t="s">
        <v>26</v>
      </c>
      <c r="B10" s="4">
        <v>1557334.4</v>
      </c>
      <c r="C10" s="4">
        <v>1385946.86</v>
      </c>
      <c r="D10" s="4">
        <v>167388985272.89999</v>
      </c>
      <c r="E10" s="4">
        <v>103</v>
      </c>
      <c r="F10" s="4">
        <v>53</v>
      </c>
      <c r="G10" s="4">
        <v>860692.5</v>
      </c>
      <c r="H10" s="4">
        <v>860.6925</v>
      </c>
      <c r="I10" s="4">
        <v>54</v>
      </c>
      <c r="J10" s="4">
        <v>696641.9</v>
      </c>
      <c r="K10" s="4">
        <v>696.64189999999996</v>
      </c>
    </row>
    <row r="11" spans="1:11" x14ac:dyDescent="0.25">
      <c r="A11" s="3" t="s">
        <v>27</v>
      </c>
      <c r="B11" s="4">
        <v>2198747.1</v>
      </c>
      <c r="C11" s="4">
        <v>1930499.16</v>
      </c>
      <c r="D11" s="4">
        <v>246096887201.35999</v>
      </c>
      <c r="E11" s="4">
        <v>119</v>
      </c>
      <c r="F11" s="4">
        <v>53</v>
      </c>
      <c r="G11" s="4">
        <v>1284460.6000000001</v>
      </c>
      <c r="H11" s="4">
        <v>1284.4606000000001</v>
      </c>
      <c r="I11" s="4">
        <v>70</v>
      </c>
      <c r="J11" s="4">
        <v>914286.5</v>
      </c>
      <c r="K11" s="4">
        <v>914.28650000000005</v>
      </c>
    </row>
    <row r="12" spans="1:11" x14ac:dyDescent="0.25">
      <c r="A12" s="3" t="s">
        <v>28</v>
      </c>
      <c r="B12" s="4">
        <v>1428418.7</v>
      </c>
      <c r="C12" s="4">
        <v>1267508.8899999999</v>
      </c>
      <c r="D12" s="4">
        <v>165533758088.35001</v>
      </c>
      <c r="E12" s="4">
        <v>125</v>
      </c>
      <c r="F12" s="4">
        <v>54</v>
      </c>
      <c r="G12" s="4">
        <v>648051.19999999995</v>
      </c>
      <c r="H12" s="4">
        <v>648.05119999999999</v>
      </c>
      <c r="I12" s="4">
        <v>72</v>
      </c>
      <c r="J12" s="4">
        <v>780367.5</v>
      </c>
      <c r="K12" s="4">
        <v>780.36749999999995</v>
      </c>
    </row>
    <row r="13" spans="1:11" x14ac:dyDescent="0.25">
      <c r="A13" s="3" t="s">
        <v>29</v>
      </c>
      <c r="B13" s="4">
        <v>1732489.2</v>
      </c>
      <c r="C13" s="4">
        <v>1554150.06</v>
      </c>
      <c r="D13" s="4">
        <v>200620851247.51001</v>
      </c>
      <c r="E13" s="4">
        <v>102</v>
      </c>
      <c r="F13" s="4">
        <v>49</v>
      </c>
      <c r="G13" s="4">
        <v>865642.3</v>
      </c>
      <c r="H13" s="4">
        <v>865.64229999999998</v>
      </c>
      <c r="I13" s="4">
        <v>55</v>
      </c>
      <c r="J13" s="4">
        <v>866846.9</v>
      </c>
      <c r="K13" s="4">
        <v>866.84690000000001</v>
      </c>
    </row>
    <row r="14" spans="1:11" x14ac:dyDescent="0.25">
      <c r="A14" s="3" t="s">
        <v>30</v>
      </c>
      <c r="B14" s="4">
        <v>1541532.7</v>
      </c>
      <c r="C14" s="4">
        <v>1371270.12</v>
      </c>
      <c r="D14" s="4">
        <v>176782987483.26999</v>
      </c>
      <c r="E14" s="4">
        <v>85</v>
      </c>
      <c r="F14" s="4">
        <v>38</v>
      </c>
      <c r="G14" s="4">
        <v>308196.40000000002</v>
      </c>
      <c r="H14" s="4">
        <v>308.19639999999998</v>
      </c>
      <c r="I14" s="4">
        <v>47</v>
      </c>
      <c r="J14" s="4">
        <v>1233336.3</v>
      </c>
      <c r="K14" s="4">
        <v>1233.3362999999999</v>
      </c>
    </row>
    <row r="15" spans="1:11" x14ac:dyDescent="0.25">
      <c r="A15" s="3" t="s">
        <v>31</v>
      </c>
      <c r="B15" s="4">
        <v>761322</v>
      </c>
      <c r="C15" s="4">
        <v>629911.87</v>
      </c>
      <c r="D15" s="4">
        <v>81125868362.869995</v>
      </c>
      <c r="E15" s="4">
        <v>30</v>
      </c>
      <c r="F15" s="4">
        <v>14</v>
      </c>
      <c r="G15" s="4">
        <v>152014.1</v>
      </c>
      <c r="H15" s="4">
        <v>152.01410000000001</v>
      </c>
      <c r="I15" s="4">
        <v>16</v>
      </c>
      <c r="J15" s="4">
        <v>609307.9</v>
      </c>
      <c r="K15" s="4">
        <v>609.30790000000002</v>
      </c>
    </row>
    <row r="16" spans="1:11" x14ac:dyDescent="0.25">
      <c r="A16" s="5" t="s">
        <v>18</v>
      </c>
      <c r="B16" s="6">
        <v>15206541.5</v>
      </c>
      <c r="C16" s="6">
        <v>12940016.17</v>
      </c>
      <c r="D16" s="6">
        <v>1573639706919.3301</v>
      </c>
      <c r="E16" s="17"/>
      <c r="F16" s="17"/>
      <c r="G16" s="6">
        <v>7366964.2000000002</v>
      </c>
      <c r="H16" s="6">
        <v>7366.9642000000003</v>
      </c>
      <c r="I16" s="17"/>
      <c r="J16" s="6">
        <v>7839577.2999999998</v>
      </c>
      <c r="K16" s="6">
        <v>7839.5772999999999</v>
      </c>
    </row>
  </sheetData>
  <mergeCells count="2">
    <mergeCell ref="A1:K1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7806B-57BD-4E99-9436-B95E0573C868}">
  <dimension ref="A1:O74"/>
  <sheetViews>
    <sheetView workbookViewId="0">
      <selection activeCell="L72" sqref="L72"/>
    </sheetView>
  </sheetViews>
  <sheetFormatPr defaultColWidth="13.140625" defaultRowHeight="15" x14ac:dyDescent="0.25"/>
  <cols>
    <col min="1" max="1" width="6.5703125" bestFit="1" customWidth="1"/>
    <col min="2" max="2" width="12.85546875" customWidth="1"/>
    <col min="3" max="3" width="10.85546875" bestFit="1" customWidth="1"/>
    <col min="4" max="4" width="17.85546875" customWidth="1"/>
    <col min="5" max="5" width="13" customWidth="1"/>
    <col min="6" max="6" width="13.28515625" bestFit="1" customWidth="1"/>
    <col min="7" max="7" width="11.140625" bestFit="1" customWidth="1"/>
    <col min="8" max="8" width="11.28515625" bestFit="1" customWidth="1"/>
    <col min="9" max="9" width="13.28515625" bestFit="1" customWidth="1"/>
    <col min="10" max="10" width="11.140625" bestFit="1" customWidth="1"/>
    <col min="11" max="11" width="11.28515625" bestFit="1" customWidth="1"/>
    <col min="15" max="15" width="4.5703125" bestFit="1" customWidth="1"/>
  </cols>
  <sheetData>
    <row r="1" spans="1:13" x14ac:dyDescent="0.25">
      <c r="A1" s="63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3" x14ac:dyDescent="0.25">
      <c r="A2" s="64" t="s">
        <v>47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3" ht="52.5" x14ac:dyDescent="0.25">
      <c r="A3" s="1" t="s">
        <v>1</v>
      </c>
      <c r="B3" s="1" t="s">
        <v>48</v>
      </c>
      <c r="C3" s="1" t="s">
        <v>49</v>
      </c>
      <c r="D3" s="1" t="s">
        <v>2</v>
      </c>
      <c r="E3" s="1" t="s">
        <v>3</v>
      </c>
      <c r="F3" s="1" t="s">
        <v>4</v>
      </c>
      <c r="G3" s="1" t="s">
        <v>50</v>
      </c>
      <c r="H3" s="1" t="s">
        <v>51</v>
      </c>
      <c r="I3" s="1" t="s">
        <v>5</v>
      </c>
      <c r="J3" s="1" t="s">
        <v>52</v>
      </c>
      <c r="K3" s="1" t="s">
        <v>53</v>
      </c>
    </row>
    <row r="4" spans="1:13" x14ac:dyDescent="0.25">
      <c r="A4" s="3" t="s">
        <v>32</v>
      </c>
      <c r="B4" s="4">
        <v>3557648.6</v>
      </c>
      <c r="C4" s="4">
        <v>1617401.33</v>
      </c>
      <c r="D4" s="4">
        <v>226325839485.97</v>
      </c>
      <c r="E4" s="4">
        <v>76</v>
      </c>
      <c r="F4" s="4">
        <v>49</v>
      </c>
      <c r="G4" s="4">
        <v>1254241.8</v>
      </c>
      <c r="H4" s="4">
        <v>1254.2418</v>
      </c>
      <c r="I4" s="4">
        <v>27</v>
      </c>
      <c r="J4" s="4">
        <v>2303406.7999999998</v>
      </c>
      <c r="K4" s="4">
        <v>2303.4068000000002</v>
      </c>
    </row>
    <row r="5" spans="1:13" x14ac:dyDescent="0.25">
      <c r="A5" s="3" t="s">
        <v>33</v>
      </c>
      <c r="B5" s="4">
        <v>952545.7</v>
      </c>
      <c r="C5" s="4">
        <v>813945.33</v>
      </c>
      <c r="D5" s="4">
        <v>115422178254.11</v>
      </c>
      <c r="E5" s="4">
        <v>39</v>
      </c>
      <c r="F5" s="4">
        <v>30</v>
      </c>
      <c r="G5" s="4">
        <v>432391.6</v>
      </c>
      <c r="H5" s="4">
        <v>432.39159999999998</v>
      </c>
      <c r="I5" s="4">
        <v>9</v>
      </c>
      <c r="J5" s="4">
        <v>520154.1</v>
      </c>
      <c r="K5" s="4">
        <v>520.15409999999997</v>
      </c>
    </row>
    <row r="6" spans="1:13" x14ac:dyDescent="0.25">
      <c r="A6" s="3" t="s">
        <v>34</v>
      </c>
      <c r="B6" s="4">
        <v>829607.1</v>
      </c>
      <c r="C6" s="4">
        <v>708104.31</v>
      </c>
      <c r="D6" s="4">
        <v>102110547486.47</v>
      </c>
      <c r="E6" s="4">
        <v>40</v>
      </c>
      <c r="F6" s="4">
        <v>30</v>
      </c>
      <c r="G6" s="4">
        <v>378652.1</v>
      </c>
      <c r="H6" s="4">
        <v>378.65210000000002</v>
      </c>
      <c r="I6" s="4">
        <v>10</v>
      </c>
      <c r="J6" s="4">
        <v>450955</v>
      </c>
      <c r="K6" s="4">
        <v>450.95499999999998</v>
      </c>
    </row>
    <row r="7" spans="1:13" x14ac:dyDescent="0.25">
      <c r="A7" s="3" t="s">
        <v>42</v>
      </c>
      <c r="B7" s="4">
        <v>1406221</v>
      </c>
      <c r="C7" s="4">
        <v>1160761.33</v>
      </c>
      <c r="D7" s="4">
        <v>178057638444.82999</v>
      </c>
      <c r="E7" s="4">
        <v>82</v>
      </c>
      <c r="F7" s="4">
        <v>56</v>
      </c>
      <c r="G7" s="4">
        <v>622962.19999999995</v>
      </c>
      <c r="H7" s="4">
        <v>622.96220000000005</v>
      </c>
      <c r="I7" s="4">
        <v>26</v>
      </c>
      <c r="J7" s="4">
        <v>783258.8</v>
      </c>
      <c r="K7" s="4">
        <v>783.25879999999995</v>
      </c>
    </row>
    <row r="8" spans="1:13" x14ac:dyDescent="0.25">
      <c r="A8" s="3" t="s">
        <v>43</v>
      </c>
      <c r="B8" s="4">
        <v>1763484.8</v>
      </c>
      <c r="C8" s="4">
        <v>1554470.88</v>
      </c>
      <c r="D8" s="4">
        <v>241039966779.48999</v>
      </c>
      <c r="E8" s="4">
        <v>101</v>
      </c>
      <c r="F8" s="4">
        <v>52</v>
      </c>
      <c r="G8" s="4">
        <v>952662.5</v>
      </c>
      <c r="H8" s="4">
        <v>952.66250000000002</v>
      </c>
      <c r="I8" s="4">
        <v>49</v>
      </c>
      <c r="J8" s="4">
        <v>810822.3</v>
      </c>
      <c r="K8" s="4">
        <v>810.82230000000004</v>
      </c>
    </row>
    <row r="9" spans="1:13" x14ac:dyDescent="0.25">
      <c r="A9" s="3" t="s">
        <v>44</v>
      </c>
      <c r="B9" s="4">
        <v>2333706.5</v>
      </c>
      <c r="C9" s="4">
        <v>2009824.83</v>
      </c>
      <c r="D9" s="4">
        <v>318450468683.07001</v>
      </c>
      <c r="E9" s="4">
        <v>102</v>
      </c>
      <c r="F9" s="4">
        <v>41</v>
      </c>
      <c r="G9" s="4">
        <v>1291115.6000000001</v>
      </c>
      <c r="H9" s="4">
        <v>1291.1156000000001</v>
      </c>
      <c r="I9" s="4">
        <v>61</v>
      </c>
      <c r="J9" s="4">
        <v>1042590.9</v>
      </c>
      <c r="K9" s="4">
        <v>1042.5908999999999</v>
      </c>
    </row>
    <row r="10" spans="1:13" x14ac:dyDescent="0.25">
      <c r="A10" s="3" t="s">
        <v>45</v>
      </c>
      <c r="B10" s="4">
        <v>2213509.5</v>
      </c>
      <c r="C10" s="4">
        <v>1883862.08</v>
      </c>
      <c r="D10" s="4">
        <v>318318085914.02002</v>
      </c>
      <c r="E10" s="4">
        <v>99</v>
      </c>
      <c r="F10" s="4">
        <v>34</v>
      </c>
      <c r="G10" s="4">
        <v>692937.5</v>
      </c>
      <c r="H10" s="4">
        <v>692.9375</v>
      </c>
      <c r="I10" s="4">
        <v>65</v>
      </c>
      <c r="J10" s="4">
        <v>1520572</v>
      </c>
      <c r="K10" s="4">
        <v>1520.5719999999999</v>
      </c>
      <c r="M10" s="26"/>
    </row>
    <row r="11" spans="1:13" x14ac:dyDescent="0.25">
      <c r="A11" s="3" t="s">
        <v>46</v>
      </c>
      <c r="B11" s="4">
        <v>1777184.1</v>
      </c>
      <c r="C11" s="4">
        <v>1516061.76</v>
      </c>
      <c r="D11" s="4">
        <v>280123500014.22998</v>
      </c>
      <c r="E11" s="4">
        <v>101</v>
      </c>
      <c r="F11" s="4">
        <v>37</v>
      </c>
      <c r="G11" s="4">
        <v>828748.9</v>
      </c>
      <c r="H11" s="4">
        <v>828.74890000000005</v>
      </c>
      <c r="I11" s="4">
        <v>65</v>
      </c>
      <c r="J11" s="4">
        <v>948435.2</v>
      </c>
      <c r="K11" s="4">
        <v>948.43520000000001</v>
      </c>
      <c r="M11" s="26"/>
    </row>
    <row r="12" spans="1:13" x14ac:dyDescent="0.25">
      <c r="A12" s="3" t="s">
        <v>54</v>
      </c>
      <c r="B12" s="4">
        <v>2306029.2000000002</v>
      </c>
      <c r="C12" s="4">
        <v>2026179.25</v>
      </c>
      <c r="D12" s="4">
        <v>362764210310.10999</v>
      </c>
      <c r="E12" s="4">
        <v>116</v>
      </c>
      <c r="F12" s="4">
        <v>41</v>
      </c>
      <c r="G12" s="4">
        <v>1020461.8</v>
      </c>
      <c r="H12" s="4">
        <v>1020.4618</v>
      </c>
      <c r="I12" s="4">
        <v>75</v>
      </c>
      <c r="J12" s="4">
        <v>1285567.3999999999</v>
      </c>
      <c r="K12" s="4">
        <v>1285.5673999999999</v>
      </c>
      <c r="M12" s="27"/>
    </row>
    <row r="13" spans="1:13" x14ac:dyDescent="0.25">
      <c r="A13" s="3" t="s">
        <v>55</v>
      </c>
      <c r="B13" s="4">
        <v>2097767.2999999998</v>
      </c>
      <c r="C13" s="4">
        <v>1794616.12</v>
      </c>
      <c r="D13" s="4">
        <v>314960921105.48004</v>
      </c>
      <c r="E13" s="4">
        <f>+F13+I13</f>
        <v>107</v>
      </c>
      <c r="F13" s="4">
        <v>39</v>
      </c>
      <c r="G13" s="4">
        <v>971141.1</v>
      </c>
      <c r="H13" s="4">
        <f>+G13/1000</f>
        <v>971.14109999999994</v>
      </c>
      <c r="I13" s="4">
        <v>68</v>
      </c>
      <c r="J13" s="4">
        <v>1126626.2000000002</v>
      </c>
      <c r="K13" s="4">
        <f>+J13/1000</f>
        <v>1126.6262000000002</v>
      </c>
    </row>
    <row r="14" spans="1:13" x14ac:dyDescent="0.25">
      <c r="A14" s="3" t="s">
        <v>60</v>
      </c>
      <c r="B14" s="4">
        <v>1726135.8</v>
      </c>
      <c r="C14" s="4">
        <v>1497539.12</v>
      </c>
      <c r="D14" s="4">
        <v>258663053524.26001</v>
      </c>
      <c r="E14" s="4">
        <f t="shared" ref="E14:E15" si="0">+F14+I14</f>
        <v>83</v>
      </c>
      <c r="F14" s="4">
        <v>37</v>
      </c>
      <c r="G14" s="4">
        <v>706799.6</v>
      </c>
      <c r="H14" s="4">
        <f t="shared" ref="H14:H15" si="1">+G14/1000</f>
        <v>706.79959999999994</v>
      </c>
      <c r="I14" s="4">
        <v>46</v>
      </c>
      <c r="J14" s="4">
        <v>1019336.2</v>
      </c>
      <c r="K14" s="4">
        <f t="shared" ref="K14:K15" si="2">+J14/1000</f>
        <v>1019.3362</v>
      </c>
    </row>
    <row r="15" spans="1:13" x14ac:dyDescent="0.25">
      <c r="A15" s="3" t="s">
        <v>61</v>
      </c>
      <c r="B15" s="4">
        <v>2605219.2000000002</v>
      </c>
      <c r="C15" s="4">
        <v>1063300.68</v>
      </c>
      <c r="D15" s="4">
        <v>185797016326.85999</v>
      </c>
      <c r="E15" s="4">
        <f t="shared" si="0"/>
        <v>62</v>
      </c>
      <c r="F15" s="4">
        <v>25</v>
      </c>
      <c r="G15" s="4">
        <v>272444.79999999999</v>
      </c>
      <c r="H15" s="4">
        <f t="shared" si="1"/>
        <v>272.44479999999999</v>
      </c>
      <c r="I15" s="4">
        <v>37</v>
      </c>
      <c r="J15" s="4">
        <v>2332774.3999999999</v>
      </c>
      <c r="K15" s="4">
        <f t="shared" si="2"/>
        <v>2332.7743999999998</v>
      </c>
    </row>
    <row r="16" spans="1:13" x14ac:dyDescent="0.25">
      <c r="A16" s="5" t="s">
        <v>18</v>
      </c>
      <c r="B16" s="6">
        <f>SUM(B4:B15)</f>
        <v>23569058.800000001</v>
      </c>
      <c r="C16" s="6">
        <f>SUM(C4:C15)</f>
        <v>17646067.02</v>
      </c>
      <c r="D16" s="6">
        <f>SUM(D4:D15)</f>
        <v>2902033426328.8999</v>
      </c>
      <c r="E16" s="17"/>
      <c r="F16" s="17"/>
      <c r="G16" s="6">
        <f>SUM(G4:G15)</f>
        <v>9424559.5000000019</v>
      </c>
      <c r="H16" s="6">
        <f>SUM(H4:H13)</f>
        <v>8445.3150999999998</v>
      </c>
      <c r="I16" s="17"/>
      <c r="J16" s="6">
        <f>SUM(J4:J15)</f>
        <v>14144499.299999999</v>
      </c>
      <c r="K16" s="6">
        <f>SUM(K4:K15)</f>
        <v>14144.499300000001</v>
      </c>
    </row>
    <row r="17" spans="1:11" ht="52.5" customHeight="1" x14ac:dyDescent="0.25">
      <c r="A17" s="24"/>
      <c r="B17" s="25"/>
      <c r="C17" s="25"/>
      <c r="D17" s="25"/>
      <c r="G17" s="25"/>
      <c r="H17" s="25"/>
      <c r="J17" s="25"/>
      <c r="K17" s="25"/>
    </row>
    <row r="18" spans="1:11" hidden="1" x14ac:dyDescent="0.25">
      <c r="A18" s="24"/>
      <c r="B18" s="25"/>
      <c r="C18" s="25"/>
      <c r="D18" s="25"/>
      <c r="G18" s="25">
        <v>485427.4</v>
      </c>
      <c r="H18" s="25"/>
      <c r="J18" s="25">
        <v>10230239.4</v>
      </c>
      <c r="K18" s="25"/>
    </row>
    <row r="19" spans="1:11" hidden="1" x14ac:dyDescent="0.25">
      <c r="A19" s="24"/>
      <c r="B19" s="25"/>
      <c r="C19" s="25"/>
      <c r="D19" s="25"/>
      <c r="G19" s="25">
        <v>560878.6</v>
      </c>
      <c r="H19" s="25"/>
      <c r="J19" s="25">
        <v>427254.3</v>
      </c>
      <c r="K19" s="25"/>
    </row>
    <row r="20" spans="1:11" hidden="1" x14ac:dyDescent="0.25">
      <c r="A20" s="24"/>
      <c r="B20" s="25"/>
      <c r="C20" s="25"/>
      <c r="D20" s="25"/>
      <c r="G20" s="25">
        <v>7399009.0999999996</v>
      </c>
      <c r="H20" s="25"/>
      <c r="J20" s="25">
        <v>134895</v>
      </c>
      <c r="K20" s="25"/>
    </row>
    <row r="21" spans="1:11" hidden="1" x14ac:dyDescent="0.25">
      <c r="A21" s="24"/>
      <c r="B21" s="25"/>
      <c r="C21" s="25"/>
      <c r="D21" s="25"/>
      <c r="G21" s="25">
        <f>SUM(G18:G20)</f>
        <v>8445315.0999999996</v>
      </c>
      <c r="H21" s="25"/>
      <c r="J21" s="25">
        <f>SUM(J18:J20)</f>
        <v>10792388.700000001</v>
      </c>
      <c r="K21" s="25"/>
    </row>
    <row r="22" spans="1:11" hidden="1" x14ac:dyDescent="0.25">
      <c r="A22" s="24"/>
      <c r="B22" s="25"/>
      <c r="C22" s="25"/>
      <c r="D22" s="25"/>
      <c r="G22" s="25"/>
      <c r="H22" s="25"/>
      <c r="J22" s="25"/>
      <c r="K22" s="25"/>
    </row>
    <row r="23" spans="1:11" hidden="1" x14ac:dyDescent="0.25">
      <c r="A23" s="24"/>
      <c r="B23" s="25"/>
      <c r="C23" s="25"/>
      <c r="D23" s="25"/>
      <c r="G23" s="25"/>
      <c r="H23" s="25"/>
      <c r="J23" s="25"/>
      <c r="K23" s="25"/>
    </row>
    <row r="24" spans="1:11" hidden="1" x14ac:dyDescent="0.25">
      <c r="A24" s="24"/>
      <c r="B24" s="25"/>
      <c r="C24" s="25"/>
      <c r="D24" s="25"/>
      <c r="G24" s="25"/>
      <c r="H24" s="25"/>
      <c r="J24" s="25"/>
      <c r="K24" s="25"/>
    </row>
    <row r="25" spans="1:11" hidden="1" x14ac:dyDescent="0.25">
      <c r="A25" s="24"/>
      <c r="B25" s="25"/>
      <c r="C25" s="25"/>
      <c r="D25" s="25"/>
      <c r="G25" s="25"/>
      <c r="H25" s="25"/>
      <c r="J25" s="25"/>
      <c r="K25" s="25"/>
    </row>
    <row r="26" spans="1:11" hidden="1" x14ac:dyDescent="0.25">
      <c r="A26" s="24"/>
      <c r="B26" s="25"/>
      <c r="C26" s="25"/>
      <c r="D26" s="25"/>
      <c r="G26" s="25"/>
      <c r="H26" s="25"/>
      <c r="J26" s="25"/>
      <c r="K26" s="25"/>
    </row>
    <row r="27" spans="1:11" hidden="1" x14ac:dyDescent="0.25">
      <c r="A27" s="24"/>
      <c r="B27" s="25"/>
      <c r="C27" s="25"/>
      <c r="D27" s="25"/>
      <c r="G27" s="25"/>
      <c r="H27" s="25"/>
      <c r="J27" s="25"/>
      <c r="K27" s="25"/>
    </row>
    <row r="28" spans="1:11" hidden="1" x14ac:dyDescent="0.25">
      <c r="A28" s="24"/>
      <c r="B28" s="25"/>
      <c r="C28" s="25"/>
      <c r="D28" s="25"/>
      <c r="G28" s="25"/>
      <c r="H28" s="25"/>
      <c r="J28" s="25"/>
      <c r="K28" s="25"/>
    </row>
    <row r="29" spans="1:11" hidden="1" x14ac:dyDescent="0.25">
      <c r="A29" s="24"/>
      <c r="B29" s="25"/>
      <c r="C29" s="25"/>
      <c r="D29" s="25"/>
      <c r="G29" s="25"/>
      <c r="H29" s="25"/>
      <c r="J29" s="25"/>
      <c r="K29" s="25"/>
    </row>
    <row r="30" spans="1:11" hidden="1" x14ac:dyDescent="0.25">
      <c r="A30" s="24"/>
      <c r="B30" s="25"/>
      <c r="C30" s="25"/>
      <c r="D30" s="25"/>
      <c r="G30" s="25"/>
      <c r="H30" s="25"/>
      <c r="J30" s="25"/>
      <c r="K30" s="25"/>
    </row>
    <row r="31" spans="1:11" hidden="1" x14ac:dyDescent="0.25">
      <c r="G31" s="7"/>
    </row>
    <row r="32" spans="1:11" hidden="1" x14ac:dyDescent="0.25">
      <c r="F32" s="12">
        <v>830979</v>
      </c>
      <c r="G32" s="7"/>
    </row>
    <row r="33" spans="2:15" hidden="1" x14ac:dyDescent="0.25">
      <c r="B33" s="12">
        <v>314392835798.78003</v>
      </c>
      <c r="C33" s="7">
        <v>10</v>
      </c>
      <c r="D33" s="12">
        <v>2451237111998.48</v>
      </c>
      <c r="F33" s="12">
        <v>68571.199999999997</v>
      </c>
      <c r="G33" s="8"/>
      <c r="H33" s="8"/>
      <c r="J33" s="11"/>
    </row>
    <row r="34" spans="2:15" hidden="1" x14ac:dyDescent="0.25">
      <c r="B34" s="12">
        <v>568085306.70000005</v>
      </c>
      <c r="D34" s="12">
        <v>6336244479.3000002</v>
      </c>
      <c r="F34" s="12">
        <v>71590.899999999994</v>
      </c>
      <c r="G34" s="8"/>
      <c r="H34" s="8"/>
      <c r="J34" s="11"/>
    </row>
    <row r="35" spans="2:15" hidden="1" x14ac:dyDescent="0.25">
      <c r="B35" s="12">
        <f>+B33+B34</f>
        <v>314960921105.48004</v>
      </c>
      <c r="D35" s="15">
        <f>SUM(D33:D34)</f>
        <v>2457573356477.7798</v>
      </c>
      <c r="E35" s="22"/>
      <c r="F35" s="15">
        <v>971141.1</v>
      </c>
      <c r="G35" s="8"/>
      <c r="H35" s="8"/>
      <c r="J35" s="11"/>
      <c r="M35" s="16"/>
    </row>
    <row r="36" spans="2:15" hidden="1" x14ac:dyDescent="0.25">
      <c r="G36" s="9"/>
      <c r="H36" s="8"/>
      <c r="I36" s="10"/>
      <c r="J36" s="11"/>
    </row>
    <row r="37" spans="2:15" hidden="1" x14ac:dyDescent="0.25">
      <c r="C37">
        <v>9</v>
      </c>
      <c r="D37" s="12">
        <v>362170853618.59998</v>
      </c>
      <c r="F37" s="12">
        <v>876912.6</v>
      </c>
      <c r="G37" s="9"/>
      <c r="H37" s="9"/>
      <c r="L37" s="17"/>
      <c r="M37" s="17"/>
      <c r="N37" s="17"/>
    </row>
    <row r="38" spans="2:15" hidden="1" x14ac:dyDescent="0.25">
      <c r="D38" s="12">
        <v>593356691.50999999</v>
      </c>
      <c r="F38" s="12">
        <v>49332</v>
      </c>
      <c r="L38" s="17"/>
      <c r="M38" s="18"/>
      <c r="N38" s="19"/>
      <c r="O38" s="16">
        <f>+N38/1000000</f>
        <v>0</v>
      </c>
    </row>
    <row r="39" spans="2:15" hidden="1" x14ac:dyDescent="0.25">
      <c r="D39" s="14">
        <f>+D37+D38</f>
        <v>362764210310.10999</v>
      </c>
      <c r="F39" s="12">
        <v>94217.2</v>
      </c>
      <c r="L39" s="17"/>
      <c r="M39" s="18"/>
      <c r="N39" s="20"/>
      <c r="O39" s="13"/>
    </row>
    <row r="40" spans="2:15" hidden="1" x14ac:dyDescent="0.25">
      <c r="F40" s="14">
        <f>SUM(F37:F39)</f>
        <v>1020461.7999999999</v>
      </c>
      <c r="L40" s="17"/>
      <c r="M40" s="18"/>
      <c r="N40" s="19"/>
      <c r="O40" s="16">
        <f>+N40/1000000</f>
        <v>0</v>
      </c>
    </row>
    <row r="41" spans="2:15" hidden="1" x14ac:dyDescent="0.25">
      <c r="F41" s="14"/>
      <c r="L41" s="17"/>
      <c r="M41" s="18"/>
      <c r="N41" s="19"/>
      <c r="O41" s="16"/>
    </row>
    <row r="42" spans="2:15" hidden="1" x14ac:dyDescent="0.25">
      <c r="C42">
        <v>8</v>
      </c>
      <c r="D42" s="12">
        <v>279567094209.46997</v>
      </c>
      <c r="F42" s="12">
        <v>627788.6</v>
      </c>
      <c r="L42" s="17"/>
      <c r="M42" s="19"/>
      <c r="N42" s="20"/>
    </row>
    <row r="43" spans="2:15" hidden="1" x14ac:dyDescent="0.25">
      <c r="D43" s="12">
        <v>556405804.75999999</v>
      </c>
      <c r="F43" s="12">
        <v>123005.9</v>
      </c>
      <c r="M43" s="23"/>
      <c r="O43" s="13"/>
    </row>
    <row r="44" spans="2:15" hidden="1" x14ac:dyDescent="0.25">
      <c r="D44" s="14">
        <f>+D42+D43</f>
        <v>280123500014.22998</v>
      </c>
      <c r="F44" s="12">
        <v>77954.399999999994</v>
      </c>
    </row>
    <row r="45" spans="2:15" hidden="1" x14ac:dyDescent="0.25">
      <c r="F45" s="14">
        <f>SUM(F42:F44)</f>
        <v>828748.9</v>
      </c>
    </row>
    <row r="46" spans="2:15" hidden="1" x14ac:dyDescent="0.25">
      <c r="C46">
        <v>7</v>
      </c>
      <c r="D46" s="12">
        <v>317805977003.77002</v>
      </c>
      <c r="F46" s="14"/>
    </row>
    <row r="47" spans="2:15" hidden="1" x14ac:dyDescent="0.25">
      <c r="D47" s="12">
        <v>512108910.25</v>
      </c>
      <c r="F47" s="12">
        <v>599724.30000000005</v>
      </c>
      <c r="G47">
        <v>50673.599999999999</v>
      </c>
      <c r="H47" s="12">
        <v>42539.6</v>
      </c>
      <c r="I47" s="14">
        <f>SUM(F47:H47)</f>
        <v>692937.5</v>
      </c>
    </row>
    <row r="48" spans="2:15" hidden="1" x14ac:dyDescent="0.25">
      <c r="D48" s="14">
        <f>+D46+D47</f>
        <v>318318085914.02002</v>
      </c>
      <c r="M48" s="21"/>
      <c r="N48" s="21"/>
    </row>
    <row r="49" spans="3:14" hidden="1" x14ac:dyDescent="0.25">
      <c r="C49">
        <v>6</v>
      </c>
      <c r="D49" s="13">
        <v>318015959381.73999</v>
      </c>
    </row>
    <row r="50" spans="3:14" hidden="1" x14ac:dyDescent="0.25">
      <c r="D50" s="13">
        <v>434509301.32999998</v>
      </c>
      <c r="F50">
        <v>1182435.3</v>
      </c>
      <c r="G50">
        <v>61287.3</v>
      </c>
      <c r="H50">
        <v>47393</v>
      </c>
      <c r="I50" s="15">
        <f>SUM(F50:H50)</f>
        <v>1291115.6000000001</v>
      </c>
      <c r="M50" s="21"/>
      <c r="N50" s="21"/>
    </row>
    <row r="51" spans="3:14" hidden="1" x14ac:dyDescent="0.25">
      <c r="D51" s="14">
        <f>+D49+D50</f>
        <v>318450468683.07001</v>
      </c>
    </row>
    <row r="52" spans="3:14" hidden="1" x14ac:dyDescent="0.25">
      <c r="C52">
        <v>5</v>
      </c>
      <c r="D52" s="13">
        <v>240792544697.44</v>
      </c>
    </row>
    <row r="53" spans="3:14" hidden="1" x14ac:dyDescent="0.25">
      <c r="D53" s="13">
        <v>247422082.05000001</v>
      </c>
      <c r="F53" s="12">
        <v>873857.2</v>
      </c>
      <c r="G53">
        <v>47476.6</v>
      </c>
      <c r="H53" s="12">
        <v>31328.7</v>
      </c>
      <c r="I53" s="15">
        <f>SUM(F53:H53)</f>
        <v>952662.49999999988</v>
      </c>
    </row>
    <row r="54" spans="3:14" hidden="1" x14ac:dyDescent="0.25">
      <c r="D54" s="14">
        <f>+D52+D53</f>
        <v>241039966779.48999</v>
      </c>
    </row>
    <row r="55" spans="3:14" hidden="1" x14ac:dyDescent="0.25">
      <c r="C55">
        <v>4</v>
      </c>
      <c r="D55" s="13">
        <v>177782405879.28</v>
      </c>
    </row>
    <row r="56" spans="3:14" hidden="1" x14ac:dyDescent="0.25">
      <c r="D56" s="13">
        <v>275232565.55000001</v>
      </c>
      <c r="F56">
        <v>553654.4</v>
      </c>
      <c r="G56">
        <v>53400.3</v>
      </c>
      <c r="H56">
        <v>15907.5</v>
      </c>
      <c r="I56" s="15">
        <f>SUM(F56:H56)</f>
        <v>622962.20000000007</v>
      </c>
    </row>
    <row r="57" spans="3:14" hidden="1" x14ac:dyDescent="0.25">
      <c r="D57" s="14">
        <f>+D55+D56</f>
        <v>178057638444.82999</v>
      </c>
    </row>
    <row r="58" spans="3:14" hidden="1" x14ac:dyDescent="0.25">
      <c r="C58">
        <v>3</v>
      </c>
      <c r="D58" s="13">
        <v>101974521098.47</v>
      </c>
    </row>
    <row r="59" spans="3:14" hidden="1" x14ac:dyDescent="0.25">
      <c r="D59" s="13">
        <v>136026388</v>
      </c>
      <c r="F59">
        <v>327235.09999999998</v>
      </c>
      <c r="G59">
        <v>20863.7</v>
      </c>
      <c r="H59">
        <v>30553.3</v>
      </c>
      <c r="I59" s="15">
        <f>SUM(F59:H59)</f>
        <v>378652.1</v>
      </c>
    </row>
    <row r="60" spans="3:14" hidden="1" x14ac:dyDescent="0.25">
      <c r="D60" s="14">
        <f>+D58+D59</f>
        <v>102110547486.47</v>
      </c>
    </row>
    <row r="61" spans="3:14" hidden="1" x14ac:dyDescent="0.25">
      <c r="C61">
        <v>2</v>
      </c>
      <c r="D61" s="13">
        <v>115243822058.85001</v>
      </c>
    </row>
    <row r="62" spans="3:14" hidden="1" x14ac:dyDescent="0.25">
      <c r="D62" s="13">
        <v>178356195.25999999</v>
      </c>
      <c r="F62">
        <v>400674.1</v>
      </c>
      <c r="G62">
        <v>15524.3</v>
      </c>
      <c r="H62">
        <v>16193.2</v>
      </c>
      <c r="I62" s="15">
        <f>SUM(F62:H62)</f>
        <v>432391.6</v>
      </c>
    </row>
    <row r="63" spans="3:14" hidden="1" x14ac:dyDescent="0.25">
      <c r="D63" s="14">
        <f>+D61+D62</f>
        <v>115422178254.11</v>
      </c>
    </row>
    <row r="64" spans="3:14" hidden="1" x14ac:dyDescent="0.25">
      <c r="C64">
        <v>1</v>
      </c>
      <c r="D64" s="13">
        <v>223491098252.07999</v>
      </c>
      <c r="F64" s="12">
        <v>1125748.5</v>
      </c>
      <c r="G64">
        <v>70743.7</v>
      </c>
      <c r="H64" s="12">
        <v>57749.599999999999</v>
      </c>
      <c r="I64" s="13">
        <f>SUM(F64:H64)</f>
        <v>1254241.8</v>
      </c>
    </row>
    <row r="65" spans="4:10" hidden="1" x14ac:dyDescent="0.25">
      <c r="D65" s="13">
        <v>2834741233.8899999</v>
      </c>
      <c r="F65" s="12"/>
    </row>
    <row r="66" spans="4:10" hidden="1" x14ac:dyDescent="0.25">
      <c r="D66" s="14">
        <f>+D64+D65</f>
        <v>226325839485.97</v>
      </c>
      <c r="F66" s="12"/>
    </row>
    <row r="67" spans="4:10" hidden="1" x14ac:dyDescent="0.25">
      <c r="F67" s="12"/>
    </row>
    <row r="68" spans="4:10" hidden="1" x14ac:dyDescent="0.25"/>
    <row r="69" spans="4:10" hidden="1" x14ac:dyDescent="0.25"/>
    <row r="74" spans="4:10" x14ac:dyDescent="0.25">
      <c r="J74" s="12"/>
    </row>
  </sheetData>
  <mergeCells count="2">
    <mergeCell ref="A1:K1"/>
    <mergeCell ref="A2:K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C9C9A-3226-4354-AF0E-8A647BEDF014}">
  <dimension ref="A1:R101"/>
  <sheetViews>
    <sheetView workbookViewId="0">
      <selection activeCell="D101" sqref="D101"/>
    </sheetView>
  </sheetViews>
  <sheetFormatPr defaultRowHeight="15" x14ac:dyDescent="0.25"/>
  <cols>
    <col min="1" max="1" width="6.5703125" bestFit="1" customWidth="1"/>
    <col min="2" max="2" width="12.140625" customWidth="1"/>
    <col min="3" max="3" width="10.85546875" bestFit="1" customWidth="1"/>
    <col min="4" max="4" width="20.5703125" bestFit="1" customWidth="1"/>
    <col min="5" max="5" width="10.5703125" customWidth="1"/>
    <col min="6" max="6" width="8.85546875" customWidth="1"/>
    <col min="7" max="7" width="13.7109375" bestFit="1" customWidth="1"/>
    <col min="8" max="8" width="9.28515625" customWidth="1"/>
    <col min="9" max="9" width="9.5703125" customWidth="1"/>
    <col min="10" max="10" width="11.140625" bestFit="1" customWidth="1"/>
    <col min="11" max="11" width="8.28515625" bestFit="1" customWidth="1"/>
    <col min="12" max="12" width="38.5703125" bestFit="1" customWidth="1"/>
    <col min="13" max="15" width="20.5703125" bestFit="1" customWidth="1"/>
    <col min="16" max="16" width="11.5703125" bestFit="1" customWidth="1"/>
    <col min="18" max="18" width="9.5703125" bestFit="1" customWidth="1"/>
  </cols>
  <sheetData>
    <row r="1" spans="1:16" x14ac:dyDescent="0.25">
      <c r="A1" s="63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6" x14ac:dyDescent="0.25">
      <c r="A2" s="64" t="s">
        <v>78</v>
      </c>
      <c r="B2" s="64"/>
      <c r="C2" s="64"/>
      <c r="D2" s="64"/>
      <c r="E2" s="64"/>
      <c r="F2" s="64"/>
      <c r="G2" s="64"/>
      <c r="H2" s="64"/>
      <c r="I2" s="64"/>
      <c r="J2" s="64"/>
      <c r="K2" s="64"/>
      <c r="O2" s="12"/>
    </row>
    <row r="3" spans="1:16" ht="52.5" x14ac:dyDescent="0.25">
      <c r="A3" s="1" t="s">
        <v>1</v>
      </c>
      <c r="B3" s="1" t="s">
        <v>48</v>
      </c>
      <c r="C3" s="1" t="s">
        <v>49</v>
      </c>
      <c r="D3" s="1" t="s">
        <v>2</v>
      </c>
      <c r="E3" s="1" t="s">
        <v>3</v>
      </c>
      <c r="F3" s="1" t="s">
        <v>4</v>
      </c>
      <c r="G3" s="1" t="s">
        <v>50</v>
      </c>
      <c r="H3" s="1" t="s">
        <v>51</v>
      </c>
      <c r="I3" s="1" t="s">
        <v>5</v>
      </c>
      <c r="J3" s="1" t="s">
        <v>52</v>
      </c>
      <c r="K3" s="1" t="s">
        <v>53</v>
      </c>
    </row>
    <row r="4" spans="1:16" x14ac:dyDescent="0.25">
      <c r="A4" s="3" t="s">
        <v>62</v>
      </c>
      <c r="B4" s="4">
        <v>1346223.8</v>
      </c>
      <c r="C4" s="4">
        <v>1055456.04</v>
      </c>
      <c r="D4" s="4">
        <v>185570072565.04999</v>
      </c>
      <c r="E4" s="4">
        <f t="shared" ref="E4:E9" si="0">+F4+I4</f>
        <v>53</v>
      </c>
      <c r="F4" s="4">
        <v>32</v>
      </c>
      <c r="G4" s="4">
        <v>367926.1</v>
      </c>
      <c r="H4" s="4">
        <f t="shared" ref="H4:H10" si="1">+G4/1000</f>
        <v>367.92609999999996</v>
      </c>
      <c r="I4" s="4">
        <v>21</v>
      </c>
      <c r="J4" s="4">
        <v>978297.70000000007</v>
      </c>
      <c r="K4" s="4">
        <f t="shared" ref="K4:K10" si="2">+J4/1000</f>
        <v>978.29770000000008</v>
      </c>
      <c r="M4" s="26"/>
      <c r="N4" s="26"/>
      <c r="O4" s="26"/>
      <c r="P4" s="12"/>
    </row>
    <row r="5" spans="1:16" x14ac:dyDescent="0.25">
      <c r="A5" s="3" t="s">
        <v>64</v>
      </c>
      <c r="B5" s="4">
        <v>643455</v>
      </c>
      <c r="C5" s="4">
        <v>577478.14</v>
      </c>
      <c r="D5" s="4">
        <v>95696136122.730011</v>
      </c>
      <c r="E5" s="4">
        <f t="shared" si="0"/>
        <v>48</v>
      </c>
      <c r="F5" s="4">
        <v>28</v>
      </c>
      <c r="G5" s="4">
        <v>231502.2</v>
      </c>
      <c r="H5" s="4">
        <f t="shared" si="1"/>
        <v>231.50220000000002</v>
      </c>
      <c r="I5" s="4">
        <v>20</v>
      </c>
      <c r="J5" s="4">
        <v>411952.8</v>
      </c>
      <c r="K5" s="4">
        <f t="shared" si="2"/>
        <v>411.95279999999997</v>
      </c>
      <c r="P5" s="12"/>
    </row>
    <row r="6" spans="1:16" x14ac:dyDescent="0.25">
      <c r="A6" s="3" t="s">
        <v>68</v>
      </c>
      <c r="B6" s="4">
        <v>917027.9</v>
      </c>
      <c r="C6" s="4">
        <v>807571.46</v>
      </c>
      <c r="D6" s="4">
        <v>128123882747.84</v>
      </c>
      <c r="E6" s="4">
        <f t="shared" si="0"/>
        <v>66</v>
      </c>
      <c r="F6" s="4">
        <v>41</v>
      </c>
      <c r="G6" s="4">
        <f>279790.7+27512.4+21200.3</f>
        <v>328503.40000000002</v>
      </c>
      <c r="H6" s="4">
        <f t="shared" si="1"/>
        <v>328.5034</v>
      </c>
      <c r="I6" s="4">
        <v>25</v>
      </c>
      <c r="J6" s="4">
        <v>588524.5</v>
      </c>
      <c r="K6" s="4">
        <f t="shared" si="2"/>
        <v>588.52449999999999</v>
      </c>
      <c r="M6" s="12"/>
      <c r="N6" s="7"/>
      <c r="O6" s="21"/>
      <c r="P6" s="12"/>
    </row>
    <row r="7" spans="1:16" x14ac:dyDescent="0.25">
      <c r="A7" s="3" t="s">
        <v>69</v>
      </c>
      <c r="B7" s="4">
        <v>1345221.6</v>
      </c>
      <c r="C7" s="4">
        <v>1194409.8799999999</v>
      </c>
      <c r="D7" s="4">
        <v>193976699048.13</v>
      </c>
      <c r="E7" s="4">
        <f t="shared" si="0"/>
        <v>53</v>
      </c>
      <c r="F7" s="4">
        <v>28</v>
      </c>
      <c r="G7" s="4">
        <v>695784</v>
      </c>
      <c r="H7" s="4">
        <f t="shared" si="1"/>
        <v>695.78399999999999</v>
      </c>
      <c r="I7" s="4">
        <v>25</v>
      </c>
      <c r="J7" s="4">
        <v>649437.6</v>
      </c>
      <c r="K7" s="4">
        <f t="shared" si="2"/>
        <v>649.43759999999997</v>
      </c>
      <c r="M7" s="12"/>
      <c r="N7" s="7"/>
      <c r="O7" s="21"/>
      <c r="P7" s="12"/>
    </row>
    <row r="8" spans="1:16" x14ac:dyDescent="0.25">
      <c r="A8" s="3" t="s">
        <v>70</v>
      </c>
      <c r="B8" s="4">
        <v>2681150.5</v>
      </c>
      <c r="C8" s="4">
        <v>1881884.29</v>
      </c>
      <c r="D8" s="4">
        <v>321788837879.17004</v>
      </c>
      <c r="E8" s="4">
        <f t="shared" si="0"/>
        <v>76</v>
      </c>
      <c r="F8" s="4">
        <v>38</v>
      </c>
      <c r="G8" s="4">
        <v>1255731.3999999999</v>
      </c>
      <c r="H8" s="4">
        <f t="shared" si="1"/>
        <v>1255.7313999999999</v>
      </c>
      <c r="I8" s="4">
        <v>38</v>
      </c>
      <c r="J8" s="4">
        <v>1425419.1</v>
      </c>
      <c r="K8" s="4">
        <f t="shared" si="2"/>
        <v>1425.4191000000001</v>
      </c>
      <c r="M8" s="12"/>
      <c r="N8" s="7"/>
      <c r="O8" s="21"/>
      <c r="P8" s="12"/>
    </row>
    <row r="9" spans="1:16" x14ac:dyDescent="0.25">
      <c r="A9" s="3" t="s">
        <v>71</v>
      </c>
      <c r="B9" s="4">
        <v>2345779.1</v>
      </c>
      <c r="C9" s="4">
        <v>2091309.64</v>
      </c>
      <c r="D9" s="4">
        <v>357684428288.42999</v>
      </c>
      <c r="E9" s="4">
        <f t="shared" si="0"/>
        <v>129</v>
      </c>
      <c r="F9" s="4">
        <v>59</v>
      </c>
      <c r="G9" s="4">
        <v>1275771.9000000001</v>
      </c>
      <c r="H9" s="4">
        <f t="shared" si="1"/>
        <v>1275.7719000000002</v>
      </c>
      <c r="I9" s="4">
        <v>70</v>
      </c>
      <c r="J9" s="4">
        <v>1070007.2</v>
      </c>
      <c r="K9" s="4">
        <f t="shared" si="2"/>
        <v>1070.0072</v>
      </c>
      <c r="M9" s="12"/>
      <c r="N9" s="7"/>
      <c r="O9" s="21"/>
      <c r="P9" s="12"/>
    </row>
    <row r="10" spans="1:16" x14ac:dyDescent="0.25">
      <c r="A10" s="3" t="s">
        <v>72</v>
      </c>
      <c r="B10" s="4">
        <v>1701501.8</v>
      </c>
      <c r="C10" s="4">
        <v>1519337.18</v>
      </c>
      <c r="D10" s="4">
        <v>252582732157.42999</v>
      </c>
      <c r="E10" s="4">
        <f t="shared" ref="E10" si="3">+F10+I10</f>
        <v>95</v>
      </c>
      <c r="F10" s="4">
        <v>32</v>
      </c>
      <c r="G10" s="4">
        <f>61998.7+82052+744173.1</f>
        <v>888223.8</v>
      </c>
      <c r="H10" s="4">
        <f t="shared" si="1"/>
        <v>888.2238000000001</v>
      </c>
      <c r="I10" s="4">
        <v>63</v>
      </c>
      <c r="J10" s="4">
        <f>725516.6+70132+17629.4</f>
        <v>813278</v>
      </c>
      <c r="K10" s="4">
        <f t="shared" si="2"/>
        <v>813.27800000000002</v>
      </c>
      <c r="M10" s="12"/>
      <c r="N10" s="7"/>
      <c r="O10" s="21"/>
      <c r="P10" s="12"/>
    </row>
    <row r="11" spans="1:16" x14ac:dyDescent="0.25">
      <c r="A11" s="3" t="s">
        <v>73</v>
      </c>
      <c r="B11" s="4">
        <v>1961414.3</v>
      </c>
      <c r="C11" s="4">
        <v>1753256.33</v>
      </c>
      <c r="D11" s="4">
        <v>291254173711.67999</v>
      </c>
      <c r="E11" s="4">
        <f t="shared" ref="E11" si="4">+F11+I11</f>
        <v>106</v>
      </c>
      <c r="F11" s="4">
        <f>6+8+25</f>
        <v>39</v>
      </c>
      <c r="G11" s="4">
        <f>84777.3+111038+964377.7</f>
        <v>1160193</v>
      </c>
      <c r="H11" s="4">
        <f t="shared" ref="H11" si="5">+G11/1000</f>
        <v>1160.193</v>
      </c>
      <c r="I11" s="4">
        <f>49+11+7</f>
        <v>67</v>
      </c>
      <c r="J11" s="4">
        <f>725301.9+51118.7+24800.7</f>
        <v>801221.29999999993</v>
      </c>
      <c r="K11" s="4">
        <f t="shared" ref="K11" si="6">+J11/1000</f>
        <v>801.22129999999993</v>
      </c>
      <c r="M11" s="12"/>
      <c r="N11" s="7"/>
      <c r="O11" s="21"/>
      <c r="P11" s="12"/>
    </row>
    <row r="12" spans="1:16" x14ac:dyDescent="0.25">
      <c r="A12" s="3" t="s">
        <v>74</v>
      </c>
      <c r="B12" s="4">
        <v>1985085.4</v>
      </c>
      <c r="C12" s="4">
        <v>1363179.69</v>
      </c>
      <c r="D12" s="4">
        <v>224297334639.66998</v>
      </c>
      <c r="E12" s="4">
        <f t="shared" ref="E12" si="7">+F12+I12</f>
        <v>90</v>
      </c>
      <c r="F12" s="4">
        <f>14+3+7+4</f>
        <v>28</v>
      </c>
      <c r="G12" s="4">
        <f>69122.5+89957.1+395872.6</f>
        <v>554952.19999999995</v>
      </c>
      <c r="H12" s="4">
        <f t="shared" ref="H12" si="8">+G12/1000</f>
        <v>554.95219999999995</v>
      </c>
      <c r="I12" s="4">
        <f>41+14+7</f>
        <v>62</v>
      </c>
      <c r="J12" s="4">
        <f>1335278.1+66123.3+28731.8</f>
        <v>1430133.2000000002</v>
      </c>
      <c r="K12" s="4">
        <f t="shared" ref="K12" si="9">+J12/1000</f>
        <v>1430.1332000000002</v>
      </c>
      <c r="M12" s="12"/>
      <c r="N12" s="7"/>
      <c r="O12" s="21"/>
      <c r="P12" s="12"/>
    </row>
    <row r="13" spans="1:16" x14ac:dyDescent="0.25">
      <c r="A13" s="3" t="s">
        <v>75</v>
      </c>
      <c r="B13" s="4">
        <v>3236560.9</v>
      </c>
      <c r="C13" s="4">
        <v>2861469.4</v>
      </c>
      <c r="D13" s="4">
        <v>468680330674.17999</v>
      </c>
      <c r="E13" s="4">
        <f t="shared" ref="E13" si="10">+F13+I13</f>
        <v>116</v>
      </c>
      <c r="F13" s="4">
        <f>5+8+24</f>
        <v>37</v>
      </c>
      <c r="G13" s="4">
        <f>143810.7+147153.6+1518991.9</f>
        <v>1809956.2</v>
      </c>
      <c r="H13" s="4">
        <f t="shared" ref="H13" si="11">+G13/1000</f>
        <v>1809.9561999999999</v>
      </c>
      <c r="I13" s="4">
        <f>64+9+6</f>
        <v>79</v>
      </c>
      <c r="J13" s="4">
        <f>1298079.2+104139.4+24386.1</f>
        <v>1426604.7</v>
      </c>
      <c r="K13" s="4">
        <f t="shared" ref="K13" si="12">+J13/1000</f>
        <v>1426.6046999999999</v>
      </c>
      <c r="M13" s="12"/>
      <c r="N13" s="7"/>
      <c r="O13" s="21"/>
      <c r="P13" s="12"/>
    </row>
    <row r="14" spans="1:16" x14ac:dyDescent="0.25">
      <c r="A14" s="3" t="s">
        <v>76</v>
      </c>
      <c r="B14" s="4">
        <v>1865537.1</v>
      </c>
      <c r="C14" s="4">
        <v>1638517.22</v>
      </c>
      <c r="D14" s="4">
        <v>275586129853.89001</v>
      </c>
      <c r="E14" s="4">
        <f t="shared" ref="E14" si="13">+F14+I14</f>
        <v>96</v>
      </c>
      <c r="F14" s="4">
        <v>44</v>
      </c>
      <c r="G14" s="4">
        <f>807746.6+65387.3+128449.3</f>
        <v>1001583.2000000001</v>
      </c>
      <c r="H14" s="4">
        <f t="shared" ref="H14" si="14">+G14/1000</f>
        <v>1001.5832</v>
      </c>
      <c r="I14" s="4">
        <v>52</v>
      </c>
      <c r="J14" s="4">
        <f>798615.8+45932.4+19405.7</f>
        <v>863953.9</v>
      </c>
      <c r="K14" s="4">
        <f t="shared" ref="K14" si="15">+J14/1000</f>
        <v>863.95389999999998</v>
      </c>
      <c r="M14" s="12"/>
      <c r="N14" s="7"/>
      <c r="O14" s="21"/>
      <c r="P14" s="12"/>
    </row>
    <row r="15" spans="1:16" x14ac:dyDescent="0.25">
      <c r="A15" s="3" t="s">
        <v>77</v>
      </c>
      <c r="B15" s="4">
        <v>779716</v>
      </c>
      <c r="C15" s="4">
        <v>450695.66</v>
      </c>
      <c r="D15" s="4">
        <v>74484141028.300003</v>
      </c>
      <c r="E15" s="4">
        <f t="shared" ref="E15" si="16">+F15+I15</f>
        <v>36</v>
      </c>
      <c r="F15" s="4">
        <f>1+3+7</f>
        <v>11</v>
      </c>
      <c r="G15" s="4">
        <f>7928.4+3681.2+134150.3</f>
        <v>145759.9</v>
      </c>
      <c r="H15" s="4">
        <f t="shared" ref="H15" si="17">+G15/1000</f>
        <v>145.75989999999999</v>
      </c>
      <c r="I15" s="4">
        <v>25</v>
      </c>
      <c r="J15" s="4">
        <f>590980.3+42775.6+200.2</f>
        <v>633956.1</v>
      </c>
      <c r="K15" s="4">
        <f t="shared" ref="K15" si="18">+J15/1000</f>
        <v>633.95609999999999</v>
      </c>
      <c r="M15" s="12"/>
      <c r="N15" s="7"/>
      <c r="O15" s="21"/>
      <c r="P15" s="12"/>
    </row>
    <row r="16" spans="1:16" x14ac:dyDescent="0.25">
      <c r="A16" s="5" t="s">
        <v>18</v>
      </c>
      <c r="B16" s="6">
        <f>SUM(B4:B15)</f>
        <v>20808673.400000002</v>
      </c>
      <c r="C16" s="6">
        <f t="shared" ref="C16" si="19">SUM(C4:C15)</f>
        <v>17194564.93</v>
      </c>
      <c r="D16" s="6">
        <f>SUM(D4:D15)</f>
        <v>2869724898716.5</v>
      </c>
      <c r="E16" s="17"/>
      <c r="F16" s="17"/>
      <c r="G16" s="6">
        <f>SUM(G4:G15)</f>
        <v>9715887.2999999989</v>
      </c>
      <c r="H16" s="6">
        <f>SUM(H4:H15)</f>
        <v>9715.8873000000003</v>
      </c>
      <c r="I16" s="17"/>
      <c r="J16" s="6">
        <f t="shared" ref="J16:K16" si="20">SUM(J4:J15)</f>
        <v>11092786.1</v>
      </c>
      <c r="K16" s="6">
        <f t="shared" si="20"/>
        <v>11092.786100000001</v>
      </c>
    </row>
    <row r="17" spans="1:11" hidden="1" x14ac:dyDescent="0.25">
      <c r="A17" s="24"/>
      <c r="B17" s="25"/>
      <c r="C17" s="25"/>
      <c r="D17" s="25"/>
      <c r="G17" s="25">
        <v>485427.4</v>
      </c>
      <c r="H17" s="25"/>
      <c r="J17" s="25">
        <v>10230239.4</v>
      </c>
      <c r="K17" s="25"/>
    </row>
    <row r="18" spans="1:11" hidden="1" x14ac:dyDescent="0.25">
      <c r="A18" s="24"/>
      <c r="B18" s="25"/>
      <c r="C18" s="25"/>
      <c r="D18" s="25"/>
      <c r="G18" s="25">
        <v>560878.6</v>
      </c>
      <c r="H18" s="25"/>
      <c r="J18" s="25">
        <v>427254.3</v>
      </c>
      <c r="K18" s="25"/>
    </row>
    <row r="19" spans="1:11" hidden="1" x14ac:dyDescent="0.25">
      <c r="A19" s="24"/>
      <c r="B19" s="25"/>
      <c r="C19" s="25"/>
      <c r="D19" s="25"/>
      <c r="G19" s="25">
        <v>7399009.0999999996</v>
      </c>
      <c r="H19" s="25"/>
      <c r="J19" s="25">
        <v>134895</v>
      </c>
      <c r="K19" s="25"/>
    </row>
    <row r="20" spans="1:11" hidden="1" x14ac:dyDescent="0.25">
      <c r="A20" s="24"/>
      <c r="B20" s="25"/>
      <c r="C20" s="25"/>
      <c r="D20" s="25"/>
      <c r="G20" s="25">
        <f>SUM(G17:G19)</f>
        <v>8445315.0999999996</v>
      </c>
      <c r="H20" s="25"/>
      <c r="J20" s="25">
        <f>SUM(J17:J19)</f>
        <v>10792388.700000001</v>
      </c>
      <c r="K20" s="25"/>
    </row>
    <row r="21" spans="1:11" hidden="1" x14ac:dyDescent="0.25">
      <c r="A21" s="24"/>
      <c r="B21" s="25"/>
      <c r="C21" s="25"/>
      <c r="D21" s="25"/>
      <c r="G21" s="25"/>
      <c r="H21" s="25"/>
      <c r="J21" s="25"/>
      <c r="K21" s="25"/>
    </row>
    <row r="22" spans="1:11" hidden="1" x14ac:dyDescent="0.25">
      <c r="A22" s="24"/>
      <c r="B22" s="25"/>
      <c r="C22" s="25"/>
      <c r="D22" s="25"/>
      <c r="G22" s="25"/>
      <c r="H22" s="25"/>
      <c r="J22" s="25"/>
      <c r="K22" s="25"/>
    </row>
    <row r="23" spans="1:11" hidden="1" x14ac:dyDescent="0.25">
      <c r="A23" s="24"/>
      <c r="B23" s="25"/>
      <c r="C23" s="25"/>
      <c r="D23" s="25"/>
      <c r="G23" s="25"/>
      <c r="H23" s="25"/>
      <c r="J23" s="25"/>
      <c r="K23" s="25"/>
    </row>
    <row r="24" spans="1:11" hidden="1" x14ac:dyDescent="0.25">
      <c r="A24" s="24"/>
      <c r="B24" s="25"/>
      <c r="C24" s="25"/>
      <c r="D24" s="25"/>
      <c r="G24" s="25"/>
      <c r="H24" s="25"/>
      <c r="J24" s="25"/>
      <c r="K24" s="25"/>
    </row>
    <row r="25" spans="1:11" hidden="1" x14ac:dyDescent="0.25">
      <c r="A25" s="24"/>
      <c r="B25" s="25"/>
      <c r="C25" s="25"/>
      <c r="D25" s="25"/>
      <c r="G25" s="25"/>
      <c r="H25" s="25"/>
      <c r="J25" s="25"/>
      <c r="K25" s="25"/>
    </row>
    <row r="26" spans="1:11" hidden="1" x14ac:dyDescent="0.25">
      <c r="A26" s="24"/>
      <c r="B26" s="25"/>
      <c r="C26" s="25"/>
      <c r="D26" s="25"/>
      <c r="G26" s="25"/>
      <c r="H26" s="25"/>
      <c r="J26" s="25"/>
      <c r="K26" s="25"/>
    </row>
    <row r="27" spans="1:11" hidden="1" x14ac:dyDescent="0.25">
      <c r="A27" s="24"/>
      <c r="B27" s="25"/>
      <c r="C27" s="25"/>
      <c r="D27" s="25"/>
      <c r="G27" s="25"/>
      <c r="H27" s="25"/>
      <c r="J27" s="25"/>
      <c r="K27" s="25"/>
    </row>
    <row r="28" spans="1:11" hidden="1" x14ac:dyDescent="0.25">
      <c r="A28" s="24"/>
      <c r="B28" s="25"/>
      <c r="C28" s="25"/>
      <c r="D28" s="25"/>
      <c r="G28" s="25"/>
      <c r="H28" s="25"/>
      <c r="J28" s="25"/>
      <c r="K28" s="25"/>
    </row>
    <row r="29" spans="1:11" hidden="1" x14ac:dyDescent="0.25">
      <c r="A29" s="24"/>
      <c r="B29" s="25"/>
      <c r="C29" s="25"/>
      <c r="D29" s="25"/>
      <c r="G29" s="25"/>
      <c r="H29" s="25"/>
      <c r="J29" s="25"/>
      <c r="K29" s="25"/>
    </row>
    <row r="30" spans="1:11" hidden="1" x14ac:dyDescent="0.25">
      <c r="G30" s="7"/>
    </row>
    <row r="31" spans="1:11" hidden="1" x14ac:dyDescent="0.25">
      <c r="F31" s="12">
        <v>830979</v>
      </c>
      <c r="G31" s="7"/>
    </row>
    <row r="32" spans="1:11" hidden="1" x14ac:dyDescent="0.25">
      <c r="B32" s="12">
        <v>314392835798.78003</v>
      </c>
      <c r="C32" s="7">
        <v>10</v>
      </c>
      <c r="D32" s="12">
        <v>2451237111998.48</v>
      </c>
      <c r="F32" s="12">
        <v>68571.199999999997</v>
      </c>
      <c r="G32" s="8"/>
      <c r="H32" s="8"/>
      <c r="J32" s="11"/>
    </row>
    <row r="33" spans="2:15" hidden="1" x14ac:dyDescent="0.25">
      <c r="B33" s="12">
        <v>568085306.70000005</v>
      </c>
      <c r="D33" s="12">
        <v>6336244479.3000002</v>
      </c>
      <c r="F33" s="12">
        <v>71590.899999999994</v>
      </c>
      <c r="G33" s="8"/>
      <c r="H33" s="8"/>
      <c r="J33" s="11"/>
    </row>
    <row r="34" spans="2:15" hidden="1" x14ac:dyDescent="0.25">
      <c r="B34" s="12">
        <f>+B32+B33</f>
        <v>314960921105.48004</v>
      </c>
      <c r="D34" s="15">
        <f>SUM(D32:D33)</f>
        <v>2457573356477.7798</v>
      </c>
      <c r="E34" s="22"/>
      <c r="F34" s="15">
        <v>971141.1</v>
      </c>
      <c r="G34" s="8"/>
      <c r="H34" s="8"/>
      <c r="J34" s="11"/>
      <c r="M34" s="16"/>
    </row>
    <row r="35" spans="2:15" hidden="1" x14ac:dyDescent="0.25">
      <c r="G35" s="9"/>
      <c r="H35" s="8"/>
      <c r="I35" s="10"/>
      <c r="J35" s="11"/>
    </row>
    <row r="36" spans="2:15" hidden="1" x14ac:dyDescent="0.25">
      <c r="C36">
        <v>9</v>
      </c>
      <c r="D36" s="12">
        <v>362170853618.59998</v>
      </c>
      <c r="F36" s="12">
        <v>876912.6</v>
      </c>
      <c r="G36" s="9"/>
      <c r="H36" s="9"/>
      <c r="L36" s="17"/>
      <c r="M36" s="17"/>
      <c r="N36" s="17"/>
    </row>
    <row r="37" spans="2:15" hidden="1" x14ac:dyDescent="0.25">
      <c r="D37" s="12">
        <v>593356691.50999999</v>
      </c>
      <c r="F37" s="12">
        <v>49332</v>
      </c>
      <c r="L37" s="17" t="s">
        <v>56</v>
      </c>
      <c r="M37" s="18"/>
      <c r="N37" s="19"/>
      <c r="O37" s="16"/>
    </row>
    <row r="38" spans="2:15" hidden="1" x14ac:dyDescent="0.25">
      <c r="D38" s="14">
        <f>+D36+D37</f>
        <v>362764210310.10999</v>
      </c>
      <c r="F38" s="12">
        <v>94217.2</v>
      </c>
      <c r="L38" s="17" t="s">
        <v>57</v>
      </c>
      <c r="M38" s="18"/>
      <c r="N38" s="20"/>
      <c r="O38" s="13"/>
    </row>
    <row r="39" spans="2:15" hidden="1" x14ac:dyDescent="0.25">
      <c r="F39" s="14">
        <f>SUM(F36:F38)</f>
        <v>1020461.7999999999</v>
      </c>
      <c r="L39" s="17" t="s">
        <v>58</v>
      </c>
      <c r="M39" s="18"/>
      <c r="N39" s="19"/>
      <c r="O39" s="16"/>
    </row>
    <row r="40" spans="2:15" hidden="1" x14ac:dyDescent="0.25">
      <c r="F40" s="14"/>
      <c r="L40" s="17"/>
      <c r="M40" s="18"/>
      <c r="N40" s="19"/>
      <c r="O40" s="16"/>
    </row>
    <row r="41" spans="2:15" hidden="1" x14ac:dyDescent="0.25">
      <c r="C41">
        <v>8</v>
      </c>
      <c r="D41" s="12">
        <v>279567094209.46997</v>
      </c>
      <c r="F41" s="12">
        <v>627788.6</v>
      </c>
      <c r="L41" s="17" t="s">
        <v>59</v>
      </c>
      <c r="M41" s="19"/>
      <c r="N41" s="20"/>
    </row>
    <row r="42" spans="2:15" hidden="1" x14ac:dyDescent="0.25">
      <c r="D42" s="12">
        <v>556405804.75999999</v>
      </c>
      <c r="F42" s="12">
        <v>123005.9</v>
      </c>
      <c r="M42" s="23"/>
      <c r="O42" s="13"/>
    </row>
    <row r="43" spans="2:15" hidden="1" x14ac:dyDescent="0.25">
      <c r="D43" s="14">
        <f>+D41+D42</f>
        <v>280123500014.22998</v>
      </c>
      <c r="F43" s="12">
        <v>77954.399999999994</v>
      </c>
    </row>
    <row r="44" spans="2:15" hidden="1" x14ac:dyDescent="0.25">
      <c r="F44" s="14">
        <f>SUM(F41:F43)</f>
        <v>828748.9</v>
      </c>
    </row>
    <row r="45" spans="2:15" hidden="1" x14ac:dyDescent="0.25">
      <c r="C45">
        <v>7</v>
      </c>
      <c r="D45" s="12">
        <v>317805977003.77002</v>
      </c>
      <c r="F45" s="14"/>
    </row>
    <row r="46" spans="2:15" hidden="1" x14ac:dyDescent="0.25">
      <c r="D46" s="12">
        <v>512108910.25</v>
      </c>
      <c r="F46" s="12">
        <v>599724.30000000005</v>
      </c>
      <c r="G46">
        <v>50673.599999999999</v>
      </c>
      <c r="H46" s="12">
        <v>42539.6</v>
      </c>
      <c r="I46" s="14">
        <f>SUM(F46:H46)</f>
        <v>692937.5</v>
      </c>
    </row>
    <row r="47" spans="2:15" hidden="1" x14ac:dyDescent="0.25">
      <c r="D47" s="14">
        <f>+D45+D46</f>
        <v>318318085914.02002</v>
      </c>
      <c r="M47" s="21"/>
      <c r="N47" s="21"/>
    </row>
    <row r="48" spans="2:15" hidden="1" x14ac:dyDescent="0.25">
      <c r="C48">
        <v>6</v>
      </c>
      <c r="D48" s="13">
        <v>318015959381.73999</v>
      </c>
    </row>
    <row r="49" spans="3:14" hidden="1" x14ac:dyDescent="0.25">
      <c r="D49" s="13">
        <v>434509301.32999998</v>
      </c>
      <c r="F49">
        <v>1182435.3</v>
      </c>
      <c r="G49">
        <v>61287.3</v>
      </c>
      <c r="H49">
        <v>47393</v>
      </c>
      <c r="I49" s="15">
        <f>SUM(F49:H49)</f>
        <v>1291115.6000000001</v>
      </c>
      <c r="M49" s="21"/>
      <c r="N49" s="21"/>
    </row>
    <row r="50" spans="3:14" hidden="1" x14ac:dyDescent="0.25">
      <c r="D50" s="14">
        <f>+D48+D49</f>
        <v>318450468683.07001</v>
      </c>
    </row>
    <row r="51" spans="3:14" hidden="1" x14ac:dyDescent="0.25">
      <c r="C51">
        <v>5</v>
      </c>
      <c r="D51" s="13">
        <v>240792544697.44</v>
      </c>
    </row>
    <row r="52" spans="3:14" hidden="1" x14ac:dyDescent="0.25">
      <c r="D52" s="13">
        <v>247422082.05000001</v>
      </c>
      <c r="F52" s="12">
        <v>873857.2</v>
      </c>
      <c r="G52">
        <v>47476.6</v>
      </c>
      <c r="H52" s="12">
        <v>31328.7</v>
      </c>
      <c r="I52" s="15">
        <f>SUM(F52:H52)</f>
        <v>952662.49999999988</v>
      </c>
    </row>
    <row r="53" spans="3:14" hidden="1" x14ac:dyDescent="0.25">
      <c r="D53" s="14">
        <f>+D51+D52</f>
        <v>241039966779.48999</v>
      </c>
    </row>
    <row r="54" spans="3:14" hidden="1" x14ac:dyDescent="0.25">
      <c r="C54">
        <v>4</v>
      </c>
      <c r="D54" s="13">
        <v>177782405879.28</v>
      </c>
    </row>
    <row r="55" spans="3:14" hidden="1" x14ac:dyDescent="0.25">
      <c r="D55" s="13">
        <v>275232565.55000001</v>
      </c>
      <c r="F55">
        <v>553654.4</v>
      </c>
      <c r="G55">
        <v>53400.3</v>
      </c>
      <c r="H55">
        <v>15907.5</v>
      </c>
      <c r="I55" s="15">
        <f>SUM(F55:H55)</f>
        <v>622962.20000000007</v>
      </c>
    </row>
    <row r="56" spans="3:14" hidden="1" x14ac:dyDescent="0.25">
      <c r="D56" s="14">
        <f>+D54+D55</f>
        <v>178057638444.82999</v>
      </c>
    </row>
    <row r="57" spans="3:14" hidden="1" x14ac:dyDescent="0.25">
      <c r="C57">
        <v>3</v>
      </c>
      <c r="D57" s="13">
        <v>101974521098.47</v>
      </c>
    </row>
    <row r="58" spans="3:14" hidden="1" x14ac:dyDescent="0.25">
      <c r="D58" s="13">
        <v>136026388</v>
      </c>
      <c r="F58">
        <v>327235.09999999998</v>
      </c>
      <c r="G58">
        <v>20863.7</v>
      </c>
      <c r="H58">
        <v>30553.3</v>
      </c>
      <c r="I58" s="15">
        <f>SUM(F58:H58)</f>
        <v>378652.1</v>
      </c>
    </row>
    <row r="59" spans="3:14" hidden="1" x14ac:dyDescent="0.25">
      <c r="D59" s="14">
        <f>+D57+D58</f>
        <v>102110547486.47</v>
      </c>
    </row>
    <row r="60" spans="3:14" hidden="1" x14ac:dyDescent="0.25">
      <c r="C60">
        <v>2</v>
      </c>
      <c r="D60" s="13">
        <v>115243822058.85001</v>
      </c>
    </row>
    <row r="61" spans="3:14" hidden="1" x14ac:dyDescent="0.25">
      <c r="D61" s="13">
        <v>178356195.25999999</v>
      </c>
      <c r="F61">
        <v>400674.1</v>
      </c>
      <c r="G61">
        <v>15524.3</v>
      </c>
      <c r="H61">
        <v>16193.2</v>
      </c>
      <c r="I61" s="15">
        <f>SUM(F61:H61)</f>
        <v>432391.6</v>
      </c>
    </row>
    <row r="62" spans="3:14" hidden="1" x14ac:dyDescent="0.25">
      <c r="D62" s="14">
        <f>+D60+D61</f>
        <v>115422178254.11</v>
      </c>
    </row>
    <row r="63" spans="3:14" hidden="1" x14ac:dyDescent="0.25">
      <c r="C63">
        <v>1</v>
      </c>
      <c r="D63" s="13">
        <v>223491098252.07999</v>
      </c>
      <c r="F63" s="12">
        <v>1125748.5</v>
      </c>
      <c r="G63">
        <v>70743.7</v>
      </c>
      <c r="H63" s="12">
        <v>57749.599999999999</v>
      </c>
      <c r="I63" s="13">
        <f>SUM(F63:H63)</f>
        <v>1254241.8</v>
      </c>
    </row>
    <row r="64" spans="3:14" hidden="1" x14ac:dyDescent="0.25">
      <c r="D64" s="13">
        <v>2834741233.8899999</v>
      </c>
      <c r="F64" s="12"/>
    </row>
    <row r="65" spans="4:18" hidden="1" x14ac:dyDescent="0.25">
      <c r="D65" s="14">
        <f>+D63+D64</f>
        <v>226325839485.97</v>
      </c>
      <c r="F65" s="12"/>
    </row>
    <row r="66" spans="4:18" hidden="1" x14ac:dyDescent="0.25">
      <c r="F66" s="12"/>
    </row>
    <row r="67" spans="4:18" hidden="1" x14ac:dyDescent="0.25">
      <c r="L67" t="s">
        <v>66</v>
      </c>
      <c r="M67" s="12"/>
      <c r="N67" s="12"/>
      <c r="O67" s="12"/>
      <c r="P67" s="13"/>
    </row>
    <row r="68" spans="4:18" hidden="1" x14ac:dyDescent="0.25">
      <c r="L68" t="s">
        <v>67</v>
      </c>
      <c r="M68" s="12"/>
      <c r="N68" s="12"/>
      <c r="O68" s="12"/>
      <c r="P68" s="13"/>
    </row>
    <row r="69" spans="4:18" hidden="1" x14ac:dyDescent="0.25">
      <c r="N69" s="13"/>
      <c r="O69" s="12"/>
      <c r="P69" s="13"/>
      <c r="R69" s="13"/>
    </row>
    <row r="70" spans="4:18" hidden="1" x14ac:dyDescent="0.25">
      <c r="M70" s="12"/>
    </row>
    <row r="71" spans="4:18" hidden="1" x14ac:dyDescent="0.25">
      <c r="L71" t="s">
        <v>63</v>
      </c>
      <c r="M71" s="12"/>
    </row>
    <row r="72" spans="4:18" hidden="1" x14ac:dyDescent="0.25">
      <c r="M72" s="13"/>
    </row>
    <row r="73" spans="4:18" hidden="1" x14ac:dyDescent="0.25">
      <c r="J73" s="12"/>
    </row>
    <row r="74" spans="4:18" hidden="1" x14ac:dyDescent="0.25">
      <c r="L74" t="s">
        <v>65</v>
      </c>
      <c r="M74" s="12"/>
    </row>
    <row r="75" spans="4:18" hidden="1" x14ac:dyDescent="0.25">
      <c r="M75" s="13"/>
    </row>
    <row r="76" spans="4:18" hidden="1" x14ac:dyDescent="0.25">
      <c r="M76" s="13"/>
    </row>
    <row r="77" spans="4:18" hidden="1" x14ac:dyDescent="0.25"/>
    <row r="78" spans="4:18" hidden="1" x14ac:dyDescent="0.25"/>
    <row r="79" spans="4:18" hidden="1" x14ac:dyDescent="0.25"/>
    <row r="80" spans="4:18" hidden="1" x14ac:dyDescent="0.25">
      <c r="O80" s="12"/>
    </row>
    <row r="81" spans="2:10" hidden="1" x14ac:dyDescent="0.25"/>
    <row r="82" spans="2:10" hidden="1" x14ac:dyDescent="0.25"/>
    <row r="83" spans="2:10" hidden="1" x14ac:dyDescent="0.25"/>
    <row r="84" spans="2:10" hidden="1" x14ac:dyDescent="0.25"/>
    <row r="85" spans="2:10" hidden="1" x14ac:dyDescent="0.25"/>
    <row r="86" spans="2:10" hidden="1" x14ac:dyDescent="0.25"/>
    <row r="87" spans="2:10" hidden="1" x14ac:dyDescent="0.25"/>
    <row r="88" spans="2:10" hidden="1" x14ac:dyDescent="0.25"/>
    <row r="89" spans="2:10" hidden="1" x14ac:dyDescent="0.25"/>
    <row r="90" spans="2:10" hidden="1" x14ac:dyDescent="0.25"/>
    <row r="91" spans="2:10" hidden="1" x14ac:dyDescent="0.25"/>
    <row r="92" spans="2:10" hidden="1" x14ac:dyDescent="0.25"/>
    <row r="93" spans="2:10" hidden="1" x14ac:dyDescent="0.25"/>
    <row r="95" spans="2:10" x14ac:dyDescent="0.25">
      <c r="D95" s="12"/>
      <c r="E95" s="12"/>
    </row>
    <row r="96" spans="2:10" x14ac:dyDescent="0.25">
      <c r="B96" s="12"/>
      <c r="D96" s="12"/>
      <c r="G96" s="21"/>
      <c r="J96" s="21"/>
    </row>
    <row r="97" spans="2:15" x14ac:dyDescent="0.25">
      <c r="B97" s="28"/>
      <c r="C97" s="29"/>
      <c r="D97" s="13"/>
      <c r="G97" s="21"/>
      <c r="J97" s="21"/>
    </row>
    <row r="98" spans="2:15" x14ac:dyDescent="0.25">
      <c r="C98" s="29"/>
      <c r="G98" s="21"/>
      <c r="J98" s="21"/>
    </row>
    <row r="99" spans="2:15" x14ac:dyDescent="0.25">
      <c r="G99" s="21"/>
      <c r="H99" s="21"/>
      <c r="J99" s="21"/>
    </row>
    <row r="100" spans="2:15" x14ac:dyDescent="0.25">
      <c r="H100" s="21"/>
      <c r="M100" s="12"/>
      <c r="N100" s="12"/>
      <c r="O100" s="13"/>
    </row>
    <row r="101" spans="2:15" x14ac:dyDescent="0.25">
      <c r="E101" s="12"/>
    </row>
  </sheetData>
  <mergeCells count="2">
    <mergeCell ref="A1:K1"/>
    <mergeCell ref="A2:K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9156D-A043-4D28-9E81-F8E713E80912}">
  <sheetPr>
    <pageSetUpPr fitToPage="1"/>
  </sheetPr>
  <dimension ref="A1:O24"/>
  <sheetViews>
    <sheetView workbookViewId="0">
      <selection activeCell="J2" sqref="J1:J1048576"/>
    </sheetView>
  </sheetViews>
  <sheetFormatPr defaultRowHeight="10.5" x14ac:dyDescent="0.15"/>
  <cols>
    <col min="1" max="1" width="6.5703125" style="39" bestFit="1" customWidth="1"/>
    <col min="2" max="3" width="10.85546875" style="39" bestFit="1" customWidth="1"/>
    <col min="4" max="4" width="16.42578125" style="39" bestFit="1" customWidth="1"/>
    <col min="5" max="5" width="17.42578125" style="39" bestFit="1" customWidth="1"/>
    <col min="6" max="6" width="8.7109375" style="39" bestFit="1" customWidth="1"/>
    <col min="7" max="7" width="11.140625" style="39" bestFit="1" customWidth="1"/>
    <col min="8" max="8" width="11.28515625" style="39" bestFit="1" customWidth="1"/>
    <col min="9" max="9" width="10.85546875" style="39" bestFit="1" customWidth="1"/>
    <col min="10" max="10" width="11.140625" style="39" bestFit="1" customWidth="1"/>
    <col min="11" max="11" width="8.28515625" style="39" bestFit="1" customWidth="1"/>
    <col min="12" max="12" width="9.28515625" style="39" customWidth="1"/>
    <col min="13" max="13" width="14.85546875" style="39" bestFit="1" customWidth="1"/>
    <col min="14" max="14" width="13.140625" style="39" bestFit="1" customWidth="1"/>
    <col min="15" max="15" width="16" style="39" bestFit="1" customWidth="1"/>
    <col min="16" max="16" width="9.140625" style="39"/>
    <col min="17" max="17" width="9.5703125" style="39" bestFit="1" customWidth="1"/>
    <col min="18" max="16384" width="9.140625" style="39"/>
  </cols>
  <sheetData>
    <row r="1" spans="1:15" x14ac:dyDescent="0.15">
      <c r="A1" s="63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5" x14ac:dyDescent="0.15">
      <c r="A2" s="63" t="s">
        <v>87</v>
      </c>
      <c r="B2" s="63"/>
      <c r="C2" s="63"/>
    </row>
    <row r="3" spans="1:15" ht="52.5" x14ac:dyDescent="0.15">
      <c r="A3" s="1" t="s">
        <v>1</v>
      </c>
      <c r="B3" s="1" t="s">
        <v>48</v>
      </c>
      <c r="C3" s="1" t="s">
        <v>49</v>
      </c>
      <c r="D3" s="1" t="s">
        <v>2</v>
      </c>
      <c r="E3" s="1" t="s">
        <v>3</v>
      </c>
      <c r="F3" s="1" t="s">
        <v>4</v>
      </c>
      <c r="G3" s="1" t="s">
        <v>50</v>
      </c>
      <c r="H3" s="1" t="s">
        <v>51</v>
      </c>
      <c r="I3" s="1" t="s">
        <v>5</v>
      </c>
      <c r="J3" s="1" t="s">
        <v>52</v>
      </c>
      <c r="K3" s="1" t="s">
        <v>53</v>
      </c>
      <c r="M3" s="2" t="s">
        <v>80</v>
      </c>
      <c r="N3" s="2" t="s">
        <v>81</v>
      </c>
      <c r="O3" s="2" t="s">
        <v>82</v>
      </c>
    </row>
    <row r="4" spans="1:15" x14ac:dyDescent="0.15">
      <c r="A4" s="3" t="s">
        <v>79</v>
      </c>
      <c r="B4" s="4">
        <v>1659009.4</v>
      </c>
      <c r="C4" s="4">
        <v>1432958.73</v>
      </c>
      <c r="D4" s="4">
        <f t="shared" ref="D4:D9" si="0">+O4</f>
        <v>240154687652.47998</v>
      </c>
      <c r="E4" s="4">
        <f t="shared" ref="E4" si="1">+F4+I4</f>
        <v>65</v>
      </c>
      <c r="F4" s="4">
        <f>21+8+5</f>
        <v>34</v>
      </c>
      <c r="G4" s="4">
        <f>46186+34702+759542.2</f>
        <v>840430.2</v>
      </c>
      <c r="H4" s="4">
        <f>+G4/1000</f>
        <v>840.4301999999999</v>
      </c>
      <c r="I4" s="4">
        <f>24+4+3</f>
        <v>31</v>
      </c>
      <c r="J4" s="4">
        <f>786933.7+29364.3+2281.2</f>
        <v>818579.2</v>
      </c>
      <c r="K4" s="4">
        <f>+J4/1000</f>
        <v>818.5791999999999</v>
      </c>
      <c r="M4" s="4">
        <v>239753908133.64999</v>
      </c>
      <c r="N4" s="4">
        <v>400779518.82999998</v>
      </c>
      <c r="O4" s="40">
        <f t="shared" ref="O4:O12" si="2">+M4+N4</f>
        <v>240154687652.47998</v>
      </c>
    </row>
    <row r="5" spans="1:15" x14ac:dyDescent="0.15">
      <c r="A5" s="3" t="s">
        <v>83</v>
      </c>
      <c r="B5" s="4">
        <v>795308.1</v>
      </c>
      <c r="C5" s="4">
        <v>684869.53</v>
      </c>
      <c r="D5" s="4">
        <f t="shared" si="0"/>
        <v>118731131878.12999</v>
      </c>
      <c r="E5" s="4">
        <f t="shared" ref="E5:E15" si="3">+F5+I5</f>
        <v>50</v>
      </c>
      <c r="F5" s="4">
        <f>19+13</f>
        <v>32</v>
      </c>
      <c r="G5" s="4">
        <f>15749.1+12444.6+232210.7</f>
        <v>260404.40000000002</v>
      </c>
      <c r="H5" s="4">
        <f t="shared" ref="H5:H9" si="4">+G5/1000</f>
        <v>260.40440000000001</v>
      </c>
      <c r="I5" s="4">
        <f>15+3</f>
        <v>18</v>
      </c>
      <c r="J5" s="4">
        <f>488147+46756.7</f>
        <v>534903.69999999995</v>
      </c>
      <c r="K5" s="4">
        <f t="shared" ref="K5:K9" si="5">+J5/1000</f>
        <v>534.90369999999996</v>
      </c>
      <c r="M5" s="4">
        <v>118527315401.00999</v>
      </c>
      <c r="N5" s="4">
        <v>203816477.12</v>
      </c>
      <c r="O5" s="40">
        <f t="shared" si="2"/>
        <v>118731131878.12999</v>
      </c>
    </row>
    <row r="6" spans="1:15" x14ac:dyDescent="0.15">
      <c r="A6" s="3" t="s">
        <v>85</v>
      </c>
      <c r="B6" s="4">
        <v>985660.2</v>
      </c>
      <c r="C6" s="4">
        <v>841093.3</v>
      </c>
      <c r="D6" s="4">
        <f t="shared" si="0"/>
        <v>153574310438.32001</v>
      </c>
      <c r="E6" s="4">
        <f t="shared" si="3"/>
        <v>52</v>
      </c>
      <c r="F6" s="4">
        <v>28</v>
      </c>
      <c r="G6" s="4">
        <f>12544+18934.3+319331.1</f>
        <v>350809.39999999997</v>
      </c>
      <c r="H6" s="4">
        <f t="shared" si="4"/>
        <v>350.80939999999998</v>
      </c>
      <c r="I6" s="4">
        <v>24</v>
      </c>
      <c r="J6" s="4">
        <f>606918.6+27932.2</f>
        <v>634850.79999999993</v>
      </c>
      <c r="K6" s="4">
        <f t="shared" si="5"/>
        <v>634.85079999999994</v>
      </c>
      <c r="M6" s="4">
        <v>153295963607.84</v>
      </c>
      <c r="N6" s="4">
        <v>278346830.48000002</v>
      </c>
      <c r="O6" s="40">
        <f t="shared" si="2"/>
        <v>153574310438.32001</v>
      </c>
    </row>
    <row r="7" spans="1:15" x14ac:dyDescent="0.15">
      <c r="A7" s="3" t="s">
        <v>86</v>
      </c>
      <c r="B7" s="4">
        <v>358900.5</v>
      </c>
      <c r="C7" s="4">
        <v>288794.90000000002</v>
      </c>
      <c r="D7" s="4">
        <f t="shared" si="0"/>
        <v>55266804526.120003</v>
      </c>
      <c r="E7" s="4">
        <f t="shared" si="3"/>
        <v>29</v>
      </c>
      <c r="F7" s="4">
        <v>15</v>
      </c>
      <c r="G7" s="4">
        <f>19018.3+19749.7+2440.6</f>
        <v>41208.6</v>
      </c>
      <c r="H7" s="4">
        <f t="shared" si="4"/>
        <v>41.208599999999997</v>
      </c>
      <c r="I7" s="4">
        <f>13+1</f>
        <v>14</v>
      </c>
      <c r="J7" s="4">
        <f>5839.7+311852.2</f>
        <v>317691.90000000002</v>
      </c>
      <c r="K7" s="4">
        <f t="shared" si="5"/>
        <v>317.69190000000003</v>
      </c>
      <c r="M7" s="4">
        <v>55129794744.830002</v>
      </c>
      <c r="N7" s="4">
        <v>137009781.28999999</v>
      </c>
      <c r="O7" s="40">
        <f t="shared" si="2"/>
        <v>55266804526.120003</v>
      </c>
    </row>
    <row r="8" spans="1:15" x14ac:dyDescent="0.15">
      <c r="A8" s="3" t="s">
        <v>88</v>
      </c>
      <c r="B8" s="4">
        <v>2151971</v>
      </c>
      <c r="C8" s="4">
        <v>1889741.03</v>
      </c>
      <c r="D8" s="4">
        <f t="shared" si="0"/>
        <v>366875990721.07001</v>
      </c>
      <c r="E8" s="4">
        <f t="shared" si="3"/>
        <v>133</v>
      </c>
      <c r="F8" s="4">
        <v>46</v>
      </c>
      <c r="G8" s="4">
        <v>990742.39999999991</v>
      </c>
      <c r="H8" s="4">
        <f t="shared" si="4"/>
        <v>990.74239999999986</v>
      </c>
      <c r="I8" s="4">
        <v>87</v>
      </c>
      <c r="J8" s="4">
        <v>1161228.5999999999</v>
      </c>
      <c r="K8" s="4">
        <f t="shared" si="5"/>
        <v>1161.2285999999999</v>
      </c>
      <c r="M8" s="4">
        <v>366400100366.79999</v>
      </c>
      <c r="N8" s="4">
        <v>475890354.26999998</v>
      </c>
      <c r="O8" s="40">
        <f t="shared" si="2"/>
        <v>366875990721.07001</v>
      </c>
    </row>
    <row r="9" spans="1:15" x14ac:dyDescent="0.15">
      <c r="A9" s="3" t="s">
        <v>89</v>
      </c>
      <c r="B9" s="4">
        <v>1962605.6</v>
      </c>
      <c r="C9" s="4">
        <v>1704334.42</v>
      </c>
      <c r="D9" s="4">
        <f t="shared" si="0"/>
        <v>330789527130.45001</v>
      </c>
      <c r="E9" s="4">
        <f t="shared" si="3"/>
        <v>153</v>
      </c>
      <c r="F9" s="4">
        <v>53</v>
      </c>
      <c r="G9" s="4">
        <v>817767</v>
      </c>
      <c r="H9" s="4">
        <f t="shared" si="4"/>
        <v>817.76700000000005</v>
      </c>
      <c r="I9" s="4">
        <v>100</v>
      </c>
      <c r="J9" s="4">
        <v>1144838.6000000001</v>
      </c>
      <c r="K9" s="4">
        <f t="shared" si="5"/>
        <v>1144.8386</v>
      </c>
      <c r="M9" s="4">
        <v>330318189546.82001</v>
      </c>
      <c r="N9" s="4">
        <v>471337583.63</v>
      </c>
      <c r="O9" s="40">
        <f t="shared" si="2"/>
        <v>330789527130.45001</v>
      </c>
    </row>
    <row r="10" spans="1:15" x14ac:dyDescent="0.15">
      <c r="A10" s="3" t="s">
        <v>90</v>
      </c>
      <c r="B10" s="4">
        <v>1759586.8</v>
      </c>
      <c r="C10" s="4">
        <v>1545934.7</v>
      </c>
      <c r="D10" s="4">
        <f t="shared" ref="D10" si="6">+O10</f>
        <v>286898897655.66998</v>
      </c>
      <c r="E10" s="4">
        <f t="shared" si="3"/>
        <v>96</v>
      </c>
      <c r="F10" s="4">
        <v>26</v>
      </c>
      <c r="G10" s="4">
        <f>280117.7+95559.1+268572.2</f>
        <v>644249</v>
      </c>
      <c r="H10" s="4">
        <f t="shared" ref="H10:H14" si="7">+G10/1000</f>
        <v>644.24900000000002</v>
      </c>
      <c r="I10" s="4">
        <v>70</v>
      </c>
      <c r="J10" s="4">
        <f>1032595.9+63402.2+19339.7</f>
        <v>1115337.8</v>
      </c>
      <c r="K10" s="4">
        <f t="shared" ref="K10:K15" si="8">+J10/1000</f>
        <v>1115.3378</v>
      </c>
      <c r="M10" s="4">
        <v>286556174693.92999</v>
      </c>
      <c r="N10" s="4">
        <v>342722961.74000001</v>
      </c>
      <c r="O10" s="40">
        <f t="shared" si="2"/>
        <v>286898897655.66998</v>
      </c>
    </row>
    <row r="11" spans="1:15" x14ac:dyDescent="0.15">
      <c r="A11" s="3" t="s">
        <v>91</v>
      </c>
      <c r="B11" s="4">
        <v>2915481.3</v>
      </c>
      <c r="C11" s="4">
        <v>2065896.14</v>
      </c>
      <c r="D11" s="4">
        <f>+O11</f>
        <v>394747941793.75</v>
      </c>
      <c r="E11" s="4">
        <f t="shared" si="3"/>
        <v>119</v>
      </c>
      <c r="F11" s="4">
        <f>14+6+14</f>
        <v>34</v>
      </c>
      <c r="G11" s="4">
        <f>444837.3+123049.5+460420</f>
        <v>1028306.8</v>
      </c>
      <c r="H11" s="4">
        <f t="shared" si="7"/>
        <v>1028.3068000000001</v>
      </c>
      <c r="I11" s="4">
        <f>64+11+10</f>
        <v>85</v>
      </c>
      <c r="J11" s="4">
        <f>1730126.8+121780.5+35267.2</f>
        <v>1887174.5</v>
      </c>
      <c r="K11" s="4">
        <f t="shared" si="8"/>
        <v>1887.1745000000001</v>
      </c>
      <c r="M11" s="4">
        <v>393195610749.64001</v>
      </c>
      <c r="N11" s="4">
        <v>1552331044.1099999</v>
      </c>
      <c r="O11" s="40">
        <f t="shared" si="2"/>
        <v>394747941793.75</v>
      </c>
    </row>
    <row r="12" spans="1:15" x14ac:dyDescent="0.15">
      <c r="A12" s="3" t="s">
        <v>92</v>
      </c>
      <c r="B12" s="4">
        <v>2416439.1</v>
      </c>
      <c r="C12" s="4">
        <v>1620824.68</v>
      </c>
      <c r="D12" s="4">
        <f>+O12</f>
        <v>300512660060.14996</v>
      </c>
      <c r="E12" s="4">
        <f t="shared" si="3"/>
        <v>97</v>
      </c>
      <c r="F12" s="4">
        <f>13+5+10</f>
        <v>28</v>
      </c>
      <c r="G12" s="4">
        <f>299779+57124.9+370582.7</f>
        <v>727486.60000000009</v>
      </c>
      <c r="H12" s="4">
        <f t="shared" si="7"/>
        <v>727.48660000000007</v>
      </c>
      <c r="I12" s="4">
        <f>54+8+7</f>
        <v>69</v>
      </c>
      <c r="J12" s="4">
        <f>1532967.4+104984.3+51000.8</f>
        <v>1688952.5</v>
      </c>
      <c r="K12" s="4">
        <f t="shared" si="8"/>
        <v>1688.9525000000001</v>
      </c>
      <c r="M12" s="4">
        <v>299099365339.59998</v>
      </c>
      <c r="N12" s="4">
        <v>1413294720.55</v>
      </c>
      <c r="O12" s="40">
        <f t="shared" si="2"/>
        <v>300512660060.14996</v>
      </c>
    </row>
    <row r="13" spans="1:15" x14ac:dyDescent="0.15">
      <c r="A13" s="3" t="s">
        <v>93</v>
      </c>
      <c r="B13" s="4">
        <v>2196840.4</v>
      </c>
      <c r="C13" s="4">
        <v>1873731.04</v>
      </c>
      <c r="D13" s="4">
        <f>+O13</f>
        <v>356291860748.71002</v>
      </c>
      <c r="E13" s="4">
        <f t="shared" si="3"/>
        <v>88</v>
      </c>
      <c r="F13" s="4">
        <f>1+9+9</f>
        <v>19</v>
      </c>
      <c r="G13" s="4">
        <f>347156.7+113129.8+420466.3</f>
        <v>880752.8</v>
      </c>
      <c r="H13" s="4">
        <f t="shared" si="7"/>
        <v>880.75280000000009</v>
      </c>
      <c r="I13" s="4">
        <f>49+9+11</f>
        <v>69</v>
      </c>
      <c r="J13" s="4">
        <f>1097186+74291.9+144609.7</f>
        <v>1316087.5999999999</v>
      </c>
      <c r="K13" s="4">
        <f t="shared" si="8"/>
        <v>1316.0875999999998</v>
      </c>
      <c r="M13" s="4">
        <v>355733458495.88</v>
      </c>
      <c r="N13" s="4">
        <v>558402252.83000004</v>
      </c>
      <c r="O13" s="40">
        <f t="shared" ref="O13:O15" si="9">+M13+N13</f>
        <v>356291860748.71002</v>
      </c>
    </row>
    <row r="14" spans="1:15" x14ac:dyDescent="0.15">
      <c r="A14" s="3" t="s">
        <v>94</v>
      </c>
      <c r="B14" s="4">
        <v>2667034.7999999998</v>
      </c>
      <c r="C14" s="4">
        <v>1839514.53</v>
      </c>
      <c r="D14" s="4">
        <f>+O14</f>
        <v>363601302263.16998</v>
      </c>
      <c r="E14" s="4">
        <f t="shared" si="3"/>
        <v>76</v>
      </c>
      <c r="F14" s="4">
        <v>35</v>
      </c>
      <c r="G14" s="4">
        <v>1215084.3999999999</v>
      </c>
      <c r="H14" s="4">
        <f t="shared" si="7"/>
        <v>1215.0844</v>
      </c>
      <c r="I14" s="4">
        <v>41</v>
      </c>
      <c r="J14" s="4">
        <v>1451950.4</v>
      </c>
      <c r="K14" s="4">
        <f t="shared" si="8"/>
        <v>1451.9503999999999</v>
      </c>
      <c r="M14" s="4">
        <v>361845155421.03998</v>
      </c>
      <c r="N14" s="4">
        <v>1756146842.1300001</v>
      </c>
      <c r="O14" s="40">
        <f t="shared" si="9"/>
        <v>363601302263.16998</v>
      </c>
    </row>
    <row r="15" spans="1:15" x14ac:dyDescent="0.15">
      <c r="A15" s="3" t="s">
        <v>95</v>
      </c>
      <c r="B15" s="4">
        <v>3032223.8</v>
      </c>
      <c r="C15" s="4">
        <v>1867595.93</v>
      </c>
      <c r="D15" s="4">
        <f>+O15</f>
        <v>393691167744.46002</v>
      </c>
      <c r="E15" s="4">
        <f t="shared" si="3"/>
        <v>90</v>
      </c>
      <c r="F15" s="4">
        <f>21+7+14</f>
        <v>42</v>
      </c>
      <c r="G15" s="4">
        <f>642503.9+59835.5+426545</f>
        <v>1128884.3999999999</v>
      </c>
      <c r="H15" s="4">
        <f>+G15/1000</f>
        <v>1128.8843999999999</v>
      </c>
      <c r="I15" s="4">
        <f>40+2+6</f>
        <v>48</v>
      </c>
      <c r="J15" s="4">
        <f>1802266.4+42804.6+58268.4</f>
        <v>1903339.4</v>
      </c>
      <c r="K15" s="4">
        <f t="shared" si="8"/>
        <v>1903.3393999999998</v>
      </c>
      <c r="M15" s="4">
        <v>390998032460.34003</v>
      </c>
      <c r="N15" s="4">
        <v>2693135284.1199999</v>
      </c>
      <c r="O15" s="40">
        <f t="shared" si="9"/>
        <v>393691167744.46002</v>
      </c>
    </row>
    <row r="16" spans="1:15" x14ac:dyDescent="0.15">
      <c r="A16" s="41" t="s">
        <v>84</v>
      </c>
      <c r="B16" s="42">
        <f>SUM(B4:B15)</f>
        <v>22901061.000000004</v>
      </c>
      <c r="C16" s="42">
        <f t="shared" ref="C16:K16" si="10">SUM(C4:C15)</f>
        <v>17655288.93</v>
      </c>
      <c r="D16" s="42">
        <f t="shared" si="10"/>
        <v>3361136282612.48</v>
      </c>
      <c r="E16" s="42"/>
      <c r="F16" s="42"/>
      <c r="G16" s="42">
        <f t="shared" si="10"/>
        <v>8926126</v>
      </c>
      <c r="H16" s="42">
        <f t="shared" si="10"/>
        <v>8926.1260000000002</v>
      </c>
      <c r="I16" s="42"/>
      <c r="J16" s="42">
        <f t="shared" si="10"/>
        <v>13974934.999999998</v>
      </c>
      <c r="K16" s="42">
        <f t="shared" si="10"/>
        <v>13974.934999999998</v>
      </c>
      <c r="M16" s="4"/>
      <c r="N16" s="4"/>
      <c r="O16" s="40"/>
    </row>
    <row r="17" spans="2:13" x14ac:dyDescent="0.15">
      <c r="B17" s="43"/>
    </row>
    <row r="18" spans="2:13" x14ac:dyDescent="0.15">
      <c r="C18" s="44"/>
      <c r="D18" s="45">
        <f>D15-O15</f>
        <v>0</v>
      </c>
      <c r="M18" s="46"/>
    </row>
    <row r="21" spans="2:13" x14ac:dyDescent="0.15">
      <c r="D21" s="44">
        <f>SUM(D7:D15)</f>
        <v>2848676152643.5498</v>
      </c>
      <c r="E21" s="46">
        <f>D21*5%</f>
        <v>142433807632.17749</v>
      </c>
    </row>
    <row r="22" spans="2:13" x14ac:dyDescent="0.15">
      <c r="B22" s="43"/>
    </row>
    <row r="24" spans="2:13" x14ac:dyDescent="0.15">
      <c r="B24" s="44"/>
    </row>
  </sheetData>
  <mergeCells count="2">
    <mergeCell ref="A1:K1"/>
    <mergeCell ref="A2:C2"/>
  </mergeCells>
  <phoneticPr fontId="7" type="noConversion"/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D3B4B-F136-46D0-9D03-A2FC4DF72773}">
  <dimension ref="A1:P130"/>
  <sheetViews>
    <sheetView workbookViewId="0">
      <selection activeCell="G18" sqref="G18"/>
    </sheetView>
  </sheetViews>
  <sheetFormatPr defaultRowHeight="12.75" x14ac:dyDescent="0.2"/>
  <cols>
    <col min="1" max="1" width="6.7109375" style="30" bestFit="1" customWidth="1"/>
    <col min="2" max="3" width="12.28515625" style="30" bestFit="1" customWidth="1"/>
    <col min="4" max="4" width="18.42578125" style="30" bestFit="1" customWidth="1"/>
    <col min="5" max="5" width="8.7109375" style="30" bestFit="1" customWidth="1"/>
    <col min="6" max="6" width="7.85546875" style="30" bestFit="1" customWidth="1"/>
    <col min="7" max="7" width="12.85546875" style="30" customWidth="1"/>
    <col min="8" max="8" width="8.85546875" style="30" bestFit="1" customWidth="1"/>
    <col min="9" max="9" width="8.7109375" style="30" bestFit="1" customWidth="1"/>
    <col min="10" max="10" width="14.85546875" style="30" customWidth="1"/>
    <col min="11" max="11" width="15.28515625" style="30" bestFit="1" customWidth="1"/>
    <col min="12" max="12" width="9.140625" style="30"/>
    <col min="13" max="13" width="16.140625" style="30" bestFit="1" customWidth="1"/>
    <col min="14" max="14" width="14.28515625" style="30" bestFit="1" customWidth="1"/>
    <col min="15" max="15" width="16.5703125" style="30" bestFit="1" customWidth="1"/>
    <col min="16" max="16" width="16" style="30" bestFit="1" customWidth="1"/>
    <col min="17" max="16384" width="9.140625" style="30"/>
  </cols>
  <sheetData>
    <row r="1" spans="1:16" x14ac:dyDescent="0.2">
      <c r="A1" s="65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6" x14ac:dyDescent="0.2">
      <c r="A2" s="65" t="s">
        <v>120</v>
      </c>
      <c r="B2" s="65"/>
      <c r="C2" s="65"/>
    </row>
    <row r="3" spans="1:16" ht="51" x14ac:dyDescent="0.2">
      <c r="A3" s="31" t="s">
        <v>96</v>
      </c>
      <c r="B3" s="31" t="s">
        <v>97</v>
      </c>
      <c r="C3" s="31" t="s">
        <v>98</v>
      </c>
      <c r="D3" s="31" t="s">
        <v>99</v>
      </c>
      <c r="E3" s="31" t="s">
        <v>100</v>
      </c>
      <c r="F3" s="31" t="s">
        <v>101</v>
      </c>
      <c r="G3" s="31" t="s">
        <v>102</v>
      </c>
      <c r="H3" s="31" t="s">
        <v>103</v>
      </c>
      <c r="I3" s="31" t="s">
        <v>104</v>
      </c>
      <c r="J3" s="31" t="s">
        <v>105</v>
      </c>
      <c r="K3" s="31" t="s">
        <v>106</v>
      </c>
      <c r="M3" s="31" t="s">
        <v>80</v>
      </c>
      <c r="N3" s="31" t="s">
        <v>81</v>
      </c>
      <c r="O3" s="31" t="s">
        <v>108</v>
      </c>
    </row>
    <row r="4" spans="1:16" x14ac:dyDescent="0.2">
      <c r="A4" s="32" t="s">
        <v>107</v>
      </c>
      <c r="B4" s="47">
        <v>519834.5</v>
      </c>
      <c r="C4" s="47">
        <v>330092.31</v>
      </c>
      <c r="D4" s="47">
        <f>69998457799.35+457970727.45</f>
        <v>70456428526.800003</v>
      </c>
      <c r="E4" s="33">
        <f t="shared" ref="E4:E15" si="0">+F4+I4</f>
        <v>37</v>
      </c>
      <c r="F4" s="33">
        <f>11+5+6</f>
        <v>22</v>
      </c>
      <c r="G4" s="47">
        <f>32513.7+9258.1+37677.1</f>
        <v>79448.899999999994</v>
      </c>
      <c r="H4" s="33">
        <f t="shared" ref="H4:H15" si="1">+G4/1000</f>
        <v>79.448899999999995</v>
      </c>
      <c r="I4" s="33">
        <f>10+2+3</f>
        <v>15</v>
      </c>
      <c r="J4" s="47">
        <f>414219.3+19683.8+6482.5</f>
        <v>440385.6</v>
      </c>
      <c r="K4" s="33">
        <f t="shared" ref="K4:K11" si="2">+J4/1000</f>
        <v>440.38559999999995</v>
      </c>
      <c r="M4" s="47">
        <v>69998457799.350006</v>
      </c>
      <c r="N4" s="47">
        <v>457970727.44999999</v>
      </c>
      <c r="O4" s="34">
        <f t="shared" ref="O4:O6" si="3">+M4+N4</f>
        <v>70456428526.800003</v>
      </c>
      <c r="P4" s="48">
        <f t="shared" ref="P4:P9" si="4">O4-D4</f>
        <v>0</v>
      </c>
    </row>
    <row r="5" spans="1:16" x14ac:dyDescent="0.2">
      <c r="A5" s="32" t="s">
        <v>109</v>
      </c>
      <c r="B5" s="47">
        <v>701203.4</v>
      </c>
      <c r="C5" s="47">
        <v>581874.79</v>
      </c>
      <c r="D5" s="47">
        <f>122861110715.05+250417905.55</f>
        <v>123111528620.60001</v>
      </c>
      <c r="E5" s="33">
        <f t="shared" si="0"/>
        <v>37</v>
      </c>
      <c r="F5" s="33">
        <f>13+3+5</f>
        <v>21</v>
      </c>
      <c r="G5" s="47">
        <f>135275.3+29445.4+31524.3</f>
        <v>196244.99999999997</v>
      </c>
      <c r="H5" s="33">
        <f t="shared" si="1"/>
        <v>196.24499999999998</v>
      </c>
      <c r="I5" s="33">
        <f>11+4+1</f>
        <v>16</v>
      </c>
      <c r="J5" s="47">
        <f>423383.2+81490.6+84.6</f>
        <v>504958.4</v>
      </c>
      <c r="K5" s="33">
        <f t="shared" si="2"/>
        <v>504.95840000000004</v>
      </c>
      <c r="M5" s="47">
        <v>122861110715.05</v>
      </c>
      <c r="N5" s="47">
        <v>250417905.55000001</v>
      </c>
      <c r="O5" s="34">
        <f t="shared" si="3"/>
        <v>123111528620.60001</v>
      </c>
      <c r="P5" s="48">
        <f t="shared" si="4"/>
        <v>0</v>
      </c>
    </row>
    <row r="6" spans="1:16" x14ac:dyDescent="0.2">
      <c r="A6" s="32" t="s">
        <v>110</v>
      </c>
      <c r="B6" s="47">
        <v>1018026.8</v>
      </c>
      <c r="C6" s="47">
        <v>845112.8</v>
      </c>
      <c r="D6" s="47">
        <f>183603429464.98+358744543.04</f>
        <v>183962174008.02002</v>
      </c>
      <c r="E6" s="33">
        <f t="shared" si="0"/>
        <v>54</v>
      </c>
      <c r="F6" s="33">
        <f>16+11+7</f>
        <v>34</v>
      </c>
      <c r="G6" s="47">
        <f>142627.3+35864.1+67681.8</f>
        <v>246173.2</v>
      </c>
      <c r="H6" s="33">
        <f t="shared" si="1"/>
        <v>246.17320000000001</v>
      </c>
      <c r="I6" s="33">
        <f>16+3+1</f>
        <v>20</v>
      </c>
      <c r="J6" s="47">
        <f>690537.9+78405.9+2909.8</f>
        <v>771853.60000000009</v>
      </c>
      <c r="K6" s="33">
        <f t="shared" si="2"/>
        <v>771.85360000000014</v>
      </c>
      <c r="M6" s="34">
        <v>183603429464.98001</v>
      </c>
      <c r="N6" s="34">
        <v>358744543.04000002</v>
      </c>
      <c r="O6" s="34">
        <f t="shared" si="3"/>
        <v>183962174008.02002</v>
      </c>
      <c r="P6" s="48">
        <f t="shared" si="4"/>
        <v>0</v>
      </c>
    </row>
    <row r="7" spans="1:16" x14ac:dyDescent="0.2">
      <c r="A7" s="32" t="s">
        <v>111</v>
      </c>
      <c r="B7" s="33">
        <v>998767.3</v>
      </c>
      <c r="C7" s="33">
        <v>618751.49</v>
      </c>
      <c r="D7" s="33">
        <f>140262960028.83+975872060.43</f>
        <v>141238832089.25998</v>
      </c>
      <c r="E7" s="33">
        <f t="shared" si="0"/>
        <v>54</v>
      </c>
      <c r="F7" s="33">
        <f>12+7+7</f>
        <v>26</v>
      </c>
      <c r="G7" s="33">
        <f>100854.9+24569.2+69390</f>
        <v>194814.09999999998</v>
      </c>
      <c r="H7" s="33">
        <f t="shared" si="1"/>
        <v>194.81409999999997</v>
      </c>
      <c r="I7" s="33">
        <f>22+3+3</f>
        <v>28</v>
      </c>
      <c r="J7" s="33">
        <f>704076.9+81346.4+18529.9</f>
        <v>803953.20000000007</v>
      </c>
      <c r="K7" s="33">
        <f t="shared" si="2"/>
        <v>803.95320000000004</v>
      </c>
      <c r="M7" s="34">
        <v>140262960028.82999</v>
      </c>
      <c r="N7" s="34">
        <v>975872060.42999995</v>
      </c>
      <c r="O7" s="34">
        <f t="shared" ref="O7:O14" si="5">+M7+N7</f>
        <v>141238832089.25998</v>
      </c>
      <c r="P7" s="48">
        <f t="shared" si="4"/>
        <v>0</v>
      </c>
    </row>
    <row r="8" spans="1:16" x14ac:dyDescent="0.2">
      <c r="A8" s="32" t="s">
        <v>112</v>
      </c>
      <c r="B8" s="33">
        <v>2417855</v>
      </c>
      <c r="C8" s="33">
        <v>1325664.29</v>
      </c>
      <c r="D8" s="33">
        <f>296584054682.19+2868788992.94</f>
        <v>299452843675.13</v>
      </c>
      <c r="E8" s="33">
        <f t="shared" si="0"/>
        <v>67</v>
      </c>
      <c r="F8" s="33">
        <f>14+6+9</f>
        <v>29</v>
      </c>
      <c r="G8" s="33">
        <f>244435.5+40918.4+149479</f>
        <v>434832.9</v>
      </c>
      <c r="H8" s="33">
        <f t="shared" si="1"/>
        <v>434.8329</v>
      </c>
      <c r="I8" s="33">
        <f>30+2+6</f>
        <v>38</v>
      </c>
      <c r="J8" s="33">
        <f>1919655.4+21696.7+41670</f>
        <v>1983022.0999999999</v>
      </c>
      <c r="K8" s="33">
        <f t="shared" si="2"/>
        <v>1983.0220999999999</v>
      </c>
      <c r="M8" s="34">
        <v>296584054682.19</v>
      </c>
      <c r="N8" s="34">
        <v>2868788992.9400001</v>
      </c>
      <c r="O8" s="34">
        <f t="shared" si="5"/>
        <v>299452843675.13</v>
      </c>
      <c r="P8" s="48">
        <f t="shared" si="4"/>
        <v>0</v>
      </c>
    </row>
    <row r="9" spans="1:16" x14ac:dyDescent="0.2">
      <c r="A9" s="32" t="s">
        <v>113</v>
      </c>
      <c r="B9" s="33">
        <v>1692444.9</v>
      </c>
      <c r="C9" s="33">
        <v>1179075.3500000001</v>
      </c>
      <c r="D9" s="33">
        <f>254284536959.25+1212036033.53</f>
        <v>255496572992.78</v>
      </c>
      <c r="E9" s="33">
        <f t="shared" si="0"/>
        <v>82</v>
      </c>
      <c r="F9" s="33">
        <f>15+8+9</f>
        <v>32</v>
      </c>
      <c r="G9" s="33">
        <f>227480.8+44291.8+206186.6</f>
        <v>477959.19999999995</v>
      </c>
      <c r="H9" s="33">
        <f t="shared" si="1"/>
        <v>477.95919999999995</v>
      </c>
      <c r="I9" s="33">
        <f>34+9+7</f>
        <v>50</v>
      </c>
      <c r="J9" s="33">
        <f>1114645+57349.5+42491.2</f>
        <v>1214485.7</v>
      </c>
      <c r="K9" s="33">
        <f t="shared" si="2"/>
        <v>1214.4857</v>
      </c>
      <c r="M9" s="34">
        <v>254284536959.25</v>
      </c>
      <c r="N9" s="34">
        <v>1212036033.53</v>
      </c>
      <c r="O9" s="34">
        <f t="shared" si="5"/>
        <v>255496572992.78</v>
      </c>
      <c r="P9" s="48">
        <f t="shared" si="4"/>
        <v>0</v>
      </c>
    </row>
    <row r="10" spans="1:16" x14ac:dyDescent="0.2">
      <c r="A10" s="32" t="s">
        <v>114</v>
      </c>
      <c r="B10" s="47">
        <v>1176028.5</v>
      </c>
      <c r="C10" s="47">
        <v>1036969.13</v>
      </c>
      <c r="D10" s="47">
        <v>224004511300.17999</v>
      </c>
      <c r="E10" s="33">
        <f t="shared" si="0"/>
        <v>47</v>
      </c>
      <c r="F10" s="33">
        <v>24</v>
      </c>
      <c r="G10" s="47">
        <v>352066.5</v>
      </c>
      <c r="H10" s="33">
        <f t="shared" si="1"/>
        <v>352.06650000000002</v>
      </c>
      <c r="I10" s="33">
        <v>23</v>
      </c>
      <c r="J10" s="47">
        <v>823962</v>
      </c>
      <c r="K10" s="33">
        <f t="shared" si="2"/>
        <v>823.96199999999999</v>
      </c>
      <c r="M10" s="34">
        <v>223711073982.07999</v>
      </c>
      <c r="N10" s="34">
        <v>293437318.10000002</v>
      </c>
      <c r="O10" s="34">
        <f t="shared" si="5"/>
        <v>224004511300.17999</v>
      </c>
      <c r="P10" s="48">
        <f>O10-D10</f>
        <v>0</v>
      </c>
    </row>
    <row r="11" spans="1:16" x14ac:dyDescent="0.2">
      <c r="A11" s="32" t="s">
        <v>115</v>
      </c>
      <c r="B11" s="33">
        <v>1914142</v>
      </c>
      <c r="C11" s="33">
        <v>1629763.41</v>
      </c>
      <c r="D11" s="33">
        <f>353107830294.07+650054448.73</f>
        <v>353757884742.79999</v>
      </c>
      <c r="E11" s="33">
        <f t="shared" si="0"/>
        <v>94</v>
      </c>
      <c r="F11" s="33">
        <f>16+9+8</f>
        <v>33</v>
      </c>
      <c r="G11" s="33">
        <f>291659.7+109594.3+167320.9</f>
        <v>568574.9</v>
      </c>
      <c r="H11" s="33">
        <f t="shared" si="1"/>
        <v>568.57490000000007</v>
      </c>
      <c r="I11" s="33">
        <f>43+9+9</f>
        <v>61</v>
      </c>
      <c r="J11" s="33">
        <f>1162650.9+111656.2+71260</f>
        <v>1345567.0999999999</v>
      </c>
      <c r="K11" s="33">
        <f t="shared" si="2"/>
        <v>1345.5670999999998</v>
      </c>
      <c r="M11" s="34">
        <v>353107830294.07001</v>
      </c>
      <c r="N11" s="34">
        <v>650054448.73000002</v>
      </c>
      <c r="O11" s="34">
        <f t="shared" si="5"/>
        <v>353757884742.79999</v>
      </c>
      <c r="P11" s="48">
        <f t="shared" ref="P11:P15" si="6">O11-D11</f>
        <v>0</v>
      </c>
    </row>
    <row r="12" spans="1:16" x14ac:dyDescent="0.2">
      <c r="A12" s="32" t="s">
        <v>116</v>
      </c>
      <c r="B12" s="33">
        <v>2901591.6</v>
      </c>
      <c r="C12" s="33">
        <v>1719717.78</v>
      </c>
      <c r="D12" s="33">
        <f>369569727466.67+2744976443.31</f>
        <v>372314703909.97998</v>
      </c>
      <c r="E12" s="33">
        <f t="shared" si="0"/>
        <v>57</v>
      </c>
      <c r="F12" s="33">
        <f>13</f>
        <v>13</v>
      </c>
      <c r="G12" s="33">
        <f>339923.2+26329.5+450099</f>
        <v>816351.7</v>
      </c>
      <c r="H12" s="33">
        <f t="shared" si="1"/>
        <v>816.35169999999994</v>
      </c>
      <c r="I12" s="33">
        <f>44</f>
        <v>44</v>
      </c>
      <c r="J12" s="33">
        <f>1979410.8+26989.7+78839.4</f>
        <v>2085239.9</v>
      </c>
      <c r="K12" s="33">
        <f>+J12/1000</f>
        <v>2085.2399</v>
      </c>
      <c r="M12" s="34">
        <v>369569727466.66998</v>
      </c>
      <c r="N12" s="34">
        <v>2744976443.3099999</v>
      </c>
      <c r="O12" s="34">
        <f t="shared" si="5"/>
        <v>372314703909.97998</v>
      </c>
      <c r="P12" s="48">
        <f t="shared" si="6"/>
        <v>0</v>
      </c>
    </row>
    <row r="13" spans="1:16" x14ac:dyDescent="0.2">
      <c r="A13" s="32" t="s">
        <v>117</v>
      </c>
      <c r="B13" s="33">
        <v>867574.2</v>
      </c>
      <c r="C13" s="33">
        <v>764228.92</v>
      </c>
      <c r="D13" s="33">
        <f>165539034663.07+208718943.58</f>
        <v>165747753606.64999</v>
      </c>
      <c r="E13" s="33">
        <f t="shared" si="0"/>
        <v>60</v>
      </c>
      <c r="F13" s="33">
        <f>14+5+9</f>
        <v>28</v>
      </c>
      <c r="G13" s="33">
        <f>295088+15933.6+103331.1</f>
        <v>414352.69999999995</v>
      </c>
      <c r="H13" s="33">
        <f t="shared" si="1"/>
        <v>414.35269999999997</v>
      </c>
      <c r="I13" s="33">
        <f>24+4+4</f>
        <v>32</v>
      </c>
      <c r="J13" s="33">
        <f>424430.5+13062.6+15728.4</f>
        <v>453221.5</v>
      </c>
      <c r="K13" s="33">
        <f t="shared" ref="K13:K15" si="7">+J13/1000</f>
        <v>453.22149999999999</v>
      </c>
      <c r="M13" s="34">
        <v>165539034663.07001</v>
      </c>
      <c r="N13" s="34">
        <v>208718943.58000001</v>
      </c>
      <c r="O13" s="34">
        <f t="shared" si="5"/>
        <v>165747753606.64999</v>
      </c>
      <c r="P13" s="48">
        <f t="shared" si="6"/>
        <v>0</v>
      </c>
    </row>
    <row r="14" spans="1:16" x14ac:dyDescent="0.2">
      <c r="A14" s="32" t="s">
        <v>118</v>
      </c>
      <c r="B14" s="33">
        <v>1856353.6</v>
      </c>
      <c r="C14" s="33">
        <v>1281618.3600000001</v>
      </c>
      <c r="D14" s="33">
        <f>283065511609.22+1397561211.2</f>
        <v>284463072820.41998</v>
      </c>
      <c r="E14" s="33">
        <f t="shared" si="0"/>
        <v>75</v>
      </c>
      <c r="F14" s="33">
        <f>11+6+5</f>
        <v>22</v>
      </c>
      <c r="G14" s="33">
        <f>242199.1+55473.3+186600.2</f>
        <v>484272.60000000003</v>
      </c>
      <c r="H14" s="33">
        <f t="shared" si="1"/>
        <v>484.27260000000001</v>
      </c>
      <c r="I14" s="33">
        <f>40+6+7</f>
        <v>53</v>
      </c>
      <c r="J14" s="33">
        <f>1284424.7+55981.7+31674.6</f>
        <v>1372081</v>
      </c>
      <c r="K14" s="33">
        <f t="shared" si="7"/>
        <v>1372.0809999999999</v>
      </c>
      <c r="M14" s="34">
        <v>283065511609.21997</v>
      </c>
      <c r="N14" s="34">
        <v>1397561211.2</v>
      </c>
      <c r="O14" s="34">
        <f t="shared" si="5"/>
        <v>284463072820.41998</v>
      </c>
      <c r="P14" s="48">
        <f t="shared" si="6"/>
        <v>0</v>
      </c>
    </row>
    <row r="15" spans="1:16" x14ac:dyDescent="0.2">
      <c r="A15" s="49" t="s">
        <v>119</v>
      </c>
      <c r="B15" s="50">
        <f>1696192.3+3720.1+95876.6</f>
        <v>1795789.0000000002</v>
      </c>
      <c r="C15" s="50">
        <f>995900.82+3314.13+87351.31</f>
        <v>1086566.26</v>
      </c>
      <c r="D15" s="50">
        <f>223709353736.97+1680675969.35+19628458272.33+13395568.15+748485125.02+1010680.48</f>
        <v>245781379352.30002</v>
      </c>
      <c r="E15" s="50">
        <f t="shared" si="0"/>
        <v>61</v>
      </c>
      <c r="F15" s="50">
        <f>18</f>
        <v>18</v>
      </c>
      <c r="G15" s="50">
        <f>414640+30967.7</f>
        <v>445607.7</v>
      </c>
      <c r="H15" s="50">
        <f t="shared" si="1"/>
        <v>445.60770000000002</v>
      </c>
      <c r="I15" s="50">
        <f>43</f>
        <v>43</v>
      </c>
      <c r="J15" s="50">
        <f>1281552.3+64908.9+3720.1</f>
        <v>1350181.3</v>
      </c>
      <c r="K15" s="50">
        <f t="shared" si="7"/>
        <v>1350.1813</v>
      </c>
      <c r="M15" s="34"/>
      <c r="N15" s="34"/>
      <c r="O15" s="34">
        <v>245781379352.30002</v>
      </c>
      <c r="P15" s="48">
        <f t="shared" si="6"/>
        <v>0</v>
      </c>
    </row>
    <row r="16" spans="1:16" x14ac:dyDescent="0.2">
      <c r="A16" s="35" t="s">
        <v>84</v>
      </c>
      <c r="B16" s="36">
        <f>SUM(B4:B15)</f>
        <v>17859610.800000001</v>
      </c>
      <c r="C16" s="36">
        <f t="shared" ref="C16:K16" si="8">SUM(C4:C15)</f>
        <v>12399434.889999999</v>
      </c>
      <c r="D16" s="36">
        <f t="shared" si="8"/>
        <v>2719787685644.9199</v>
      </c>
      <c r="E16" s="36"/>
      <c r="F16" s="36"/>
      <c r="G16" s="36">
        <f t="shared" si="8"/>
        <v>4710699.4000000004</v>
      </c>
      <c r="H16" s="36">
        <f t="shared" si="8"/>
        <v>4710.6993999999995</v>
      </c>
      <c r="I16" s="36"/>
      <c r="J16" s="36">
        <f t="shared" si="8"/>
        <v>13148911.4</v>
      </c>
      <c r="K16" s="36">
        <f t="shared" si="8"/>
        <v>13148.911400000001</v>
      </c>
    </row>
    <row r="17" spans="1:7" x14ac:dyDescent="0.2">
      <c r="A17" s="37"/>
    </row>
    <row r="18" spans="1:7" x14ac:dyDescent="0.2">
      <c r="A18" s="37"/>
      <c r="G18" s="55"/>
    </row>
    <row r="19" spans="1:7" x14ac:dyDescent="0.2">
      <c r="A19" s="37"/>
    </row>
    <row r="20" spans="1:7" x14ac:dyDescent="0.2">
      <c r="A20" s="37"/>
    </row>
    <row r="21" spans="1:7" x14ac:dyDescent="0.2">
      <c r="A21" s="37"/>
    </row>
    <row r="88" spans="1:1" x14ac:dyDescent="0.2">
      <c r="A88" s="37"/>
    </row>
    <row r="89" spans="1:1" x14ac:dyDescent="0.2">
      <c r="A89" s="37"/>
    </row>
    <row r="90" spans="1:1" x14ac:dyDescent="0.2">
      <c r="A90" s="37"/>
    </row>
    <row r="91" spans="1:1" x14ac:dyDescent="0.2">
      <c r="A91" s="37"/>
    </row>
    <row r="92" spans="1:1" x14ac:dyDescent="0.2">
      <c r="A92" s="37"/>
    </row>
    <row r="94" spans="1:1" x14ac:dyDescent="0.2">
      <c r="A94" s="38"/>
    </row>
    <row r="95" spans="1:1" x14ac:dyDescent="0.2">
      <c r="A95" s="37"/>
    </row>
    <row r="97" spans="1:1" x14ac:dyDescent="0.2">
      <c r="A97" s="37"/>
    </row>
    <row r="98" spans="1:1" x14ac:dyDescent="0.2">
      <c r="A98" s="37"/>
    </row>
    <row r="99" spans="1:1" x14ac:dyDescent="0.2">
      <c r="A99" s="38"/>
    </row>
    <row r="100" spans="1:1" x14ac:dyDescent="0.2">
      <c r="A100" s="37"/>
    </row>
    <row r="101" spans="1:1" x14ac:dyDescent="0.2">
      <c r="A101" s="37"/>
    </row>
    <row r="102" spans="1:1" x14ac:dyDescent="0.2">
      <c r="A102" s="37"/>
    </row>
    <row r="103" spans="1:1" x14ac:dyDescent="0.2">
      <c r="A103" s="37"/>
    </row>
    <row r="105" spans="1:1" x14ac:dyDescent="0.2">
      <c r="A105" s="37"/>
    </row>
    <row r="107" spans="1:1" x14ac:dyDescent="0.2">
      <c r="A107" s="37"/>
    </row>
    <row r="108" spans="1:1" x14ac:dyDescent="0.2">
      <c r="A108" s="37"/>
    </row>
    <row r="109" spans="1:1" x14ac:dyDescent="0.2">
      <c r="A109" s="38"/>
    </row>
    <row r="110" spans="1:1" x14ac:dyDescent="0.2">
      <c r="A110" s="37"/>
    </row>
    <row r="111" spans="1:1" x14ac:dyDescent="0.2">
      <c r="A111" s="37"/>
    </row>
    <row r="112" spans="1:1" x14ac:dyDescent="0.2">
      <c r="A112" s="37"/>
    </row>
    <row r="113" spans="1:1" x14ac:dyDescent="0.2">
      <c r="A113" s="37"/>
    </row>
    <row r="114" spans="1:1" x14ac:dyDescent="0.2">
      <c r="A114" s="37"/>
    </row>
    <row r="115" spans="1:1" x14ac:dyDescent="0.2">
      <c r="A115" s="37"/>
    </row>
    <row r="116" spans="1:1" x14ac:dyDescent="0.2">
      <c r="A116" s="37"/>
    </row>
    <row r="117" spans="1:1" x14ac:dyDescent="0.2">
      <c r="A117" s="37"/>
    </row>
    <row r="118" spans="1:1" x14ac:dyDescent="0.2">
      <c r="A118" s="37"/>
    </row>
    <row r="119" spans="1:1" x14ac:dyDescent="0.2">
      <c r="A119" s="37"/>
    </row>
    <row r="120" spans="1:1" x14ac:dyDescent="0.2">
      <c r="A120" s="37"/>
    </row>
    <row r="121" spans="1:1" x14ac:dyDescent="0.2">
      <c r="A121" s="37"/>
    </row>
    <row r="122" spans="1:1" x14ac:dyDescent="0.2">
      <c r="A122" s="37"/>
    </row>
    <row r="123" spans="1:1" x14ac:dyDescent="0.2">
      <c r="A123" s="37"/>
    </row>
    <row r="124" spans="1:1" x14ac:dyDescent="0.2">
      <c r="A124" s="37"/>
    </row>
    <row r="125" spans="1:1" x14ac:dyDescent="0.2">
      <c r="A125" s="37"/>
    </row>
    <row r="126" spans="1:1" x14ac:dyDescent="0.2">
      <c r="A126" s="37"/>
    </row>
    <row r="127" spans="1:1" x14ac:dyDescent="0.2">
      <c r="A127" s="37"/>
    </row>
    <row r="128" spans="1:1" x14ac:dyDescent="0.2">
      <c r="A128" s="37"/>
    </row>
    <row r="129" spans="1:1" x14ac:dyDescent="0.2">
      <c r="A129" s="37"/>
    </row>
    <row r="130" spans="1:1" x14ac:dyDescent="0.2">
      <c r="A130" s="37"/>
    </row>
  </sheetData>
  <mergeCells count="2">
    <mergeCell ref="A1:K1"/>
    <mergeCell ref="A2:C2"/>
  </mergeCells>
  <phoneticPr fontId="7" type="noConversion"/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96797-D2C9-4198-A41F-91CF5F6B8CEA}">
  <dimension ref="A1:O21"/>
  <sheetViews>
    <sheetView workbookViewId="0">
      <selection activeCell="D21" sqref="D21"/>
    </sheetView>
  </sheetViews>
  <sheetFormatPr defaultRowHeight="15" x14ac:dyDescent="0.25"/>
  <cols>
    <col min="2" max="2" width="15.7109375" bestFit="1" customWidth="1"/>
    <col min="3" max="3" width="12.28515625" bestFit="1" customWidth="1"/>
    <col min="4" max="4" width="18.42578125" bestFit="1" customWidth="1"/>
    <col min="7" max="7" width="11.28515625" bestFit="1" customWidth="1"/>
    <col min="10" max="10" width="15.7109375" bestFit="1" customWidth="1"/>
    <col min="13" max="13" width="19" bestFit="1" customWidth="1"/>
    <col min="14" max="14" width="15.5703125" customWidth="1"/>
    <col min="15" max="15" width="16.7109375" bestFit="1" customWidth="1"/>
  </cols>
  <sheetData>
    <row r="1" spans="1:15" x14ac:dyDescent="0.25">
      <c r="A1" s="65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5" x14ac:dyDescent="0.25">
      <c r="A2" s="65" t="s">
        <v>133</v>
      </c>
      <c r="B2" s="65"/>
      <c r="C2" s="65"/>
      <c r="D2" s="30"/>
      <c r="E2" s="30"/>
      <c r="F2" s="30"/>
      <c r="G2" s="30"/>
      <c r="H2" s="30"/>
      <c r="I2" s="30"/>
      <c r="J2" s="30"/>
      <c r="K2" s="30"/>
    </row>
    <row r="3" spans="1:15" ht="51" x14ac:dyDescent="0.25">
      <c r="A3" s="31" t="s">
        <v>96</v>
      </c>
      <c r="B3" s="31" t="s">
        <v>97</v>
      </c>
      <c r="C3" s="31" t="s">
        <v>98</v>
      </c>
      <c r="D3" s="31" t="s">
        <v>99</v>
      </c>
      <c r="E3" s="31" t="s">
        <v>100</v>
      </c>
      <c r="F3" s="31" t="s">
        <v>101</v>
      </c>
      <c r="G3" s="31" t="s">
        <v>102</v>
      </c>
      <c r="H3" s="31" t="s">
        <v>103</v>
      </c>
      <c r="I3" s="31" t="s">
        <v>104</v>
      </c>
      <c r="J3" s="31" t="s">
        <v>105</v>
      </c>
      <c r="K3" s="31" t="s">
        <v>106</v>
      </c>
      <c r="M3" s="31" t="s">
        <v>80</v>
      </c>
      <c r="N3" s="31" t="s">
        <v>81</v>
      </c>
      <c r="O3" s="31" t="s">
        <v>108</v>
      </c>
    </row>
    <row r="4" spans="1:15" x14ac:dyDescent="0.25">
      <c r="A4" s="32" t="s">
        <v>121</v>
      </c>
      <c r="B4" s="33">
        <f>947555.4+67039.2</f>
        <v>1014594.6</v>
      </c>
      <c r="C4" s="33">
        <f>797670.32+60449.06</f>
        <v>858119.37999999989</v>
      </c>
      <c r="D4" s="50">
        <v>192519182862.97</v>
      </c>
      <c r="E4" s="50">
        <v>36</v>
      </c>
      <c r="F4" s="50">
        <v>17</v>
      </c>
      <c r="G4" s="50">
        <f>98268.4+15660.2</f>
        <v>113928.59999999999</v>
      </c>
      <c r="H4" s="33">
        <f t="shared" ref="H4:H15" si="0">+G4/1000</f>
        <v>113.92859999999999</v>
      </c>
      <c r="I4" s="50">
        <v>19</v>
      </c>
      <c r="J4" s="50">
        <f>849287+51379</f>
        <v>900666</v>
      </c>
      <c r="K4" s="33">
        <f t="shared" ref="K4:K15" si="1">+J4/1000</f>
        <v>900.66600000000005</v>
      </c>
      <c r="M4" s="51">
        <f>178657016058.7+13585447439.4</f>
        <v>192242463498.10001</v>
      </c>
      <c r="N4" s="47">
        <f>8243629.77+268475735.1</f>
        <v>276719364.87</v>
      </c>
      <c r="O4" s="50">
        <f>SUM(M4:N4)</f>
        <v>192519182862.97</v>
      </c>
    </row>
    <row r="5" spans="1:15" x14ac:dyDescent="0.25">
      <c r="A5" s="32" t="s">
        <v>122</v>
      </c>
      <c r="B5" s="52">
        <f>1193701.1+8781.2</f>
        <v>1202482.3</v>
      </c>
      <c r="C5" s="52">
        <f>346404.52+7953.62</f>
        <v>354358.14</v>
      </c>
      <c r="D5" s="50">
        <v>80497056158.119995</v>
      </c>
      <c r="E5" s="50">
        <v>19</v>
      </c>
      <c r="F5" s="50">
        <v>11</v>
      </c>
      <c r="G5" s="53">
        <f>56954.5+8781.2</f>
        <v>65735.7</v>
      </c>
      <c r="H5" s="50">
        <f t="shared" si="0"/>
        <v>65.735699999999994</v>
      </c>
      <c r="I5" s="50">
        <v>8</v>
      </c>
      <c r="J5" s="53">
        <v>1136746.6000000001</v>
      </c>
      <c r="K5" s="50">
        <f t="shared" si="1"/>
        <v>1136.7466000000002</v>
      </c>
      <c r="M5" s="47">
        <f>76866469081.39+1765429239.52</f>
        <v>78631898320.910004</v>
      </c>
      <c r="N5" s="47">
        <f>1863538019.55+1619817.66</f>
        <v>1865157837.21</v>
      </c>
      <c r="O5" s="50">
        <f>SUM(M5:N5)</f>
        <v>80497056158.12001</v>
      </c>
    </row>
    <row r="6" spans="1:15" x14ac:dyDescent="0.25">
      <c r="A6" s="32" t="s">
        <v>123</v>
      </c>
      <c r="B6" s="52">
        <f>904224.6+211907.1</f>
        <v>1116131.7</v>
      </c>
      <c r="C6" s="52">
        <f>751322.51+189965.09</f>
        <v>941287.6</v>
      </c>
      <c r="D6" s="50">
        <v>220453517445.04001</v>
      </c>
      <c r="E6" s="33">
        <v>33</v>
      </c>
      <c r="F6" s="33">
        <v>18</v>
      </c>
      <c r="G6" s="52">
        <f>157984.8+26941.9</f>
        <v>184926.69999999998</v>
      </c>
      <c r="H6" s="33">
        <f t="shared" si="0"/>
        <v>184.92669999999998</v>
      </c>
      <c r="I6" s="33">
        <v>15</v>
      </c>
      <c r="J6" s="52">
        <f>746239.8+184965.2</f>
        <v>931205</v>
      </c>
      <c r="K6" s="33">
        <f t="shared" si="1"/>
        <v>931.20500000000004</v>
      </c>
      <c r="M6" s="34">
        <f>175858884479.03+44260119501.43</f>
        <v>220119003980.45999</v>
      </c>
      <c r="N6" s="34">
        <f>310147127.42+24366337.16</f>
        <v>334513464.58000004</v>
      </c>
      <c r="O6" s="50">
        <f>SUM(M6:N6)</f>
        <v>220453517445.03998</v>
      </c>
    </row>
    <row r="7" spans="1:15" x14ac:dyDescent="0.25">
      <c r="A7" s="32" t="s">
        <v>124</v>
      </c>
      <c r="B7" s="33">
        <v>850741.89999999991</v>
      </c>
      <c r="C7" s="33">
        <v>725484.1</v>
      </c>
      <c r="D7" s="33">
        <v>186423001704</v>
      </c>
      <c r="E7" s="33">
        <v>46</v>
      </c>
      <c r="F7" s="33">
        <v>20</v>
      </c>
      <c r="G7" s="33">
        <v>190335.49999999997</v>
      </c>
      <c r="H7" s="50">
        <f t="shared" si="0"/>
        <v>190.33549999999997</v>
      </c>
      <c r="I7" s="33">
        <v>26</v>
      </c>
      <c r="J7" s="33">
        <v>660406.40000000014</v>
      </c>
      <c r="K7" s="50">
        <f t="shared" si="1"/>
        <v>660.40640000000019</v>
      </c>
      <c r="M7" s="34">
        <v>186130735435.17999</v>
      </c>
      <c r="N7" s="34">
        <v>292266268.81999999</v>
      </c>
      <c r="O7" s="50">
        <f t="shared" ref="O7:O15" si="2">SUM(M7:N7)</f>
        <v>186423001704</v>
      </c>
    </row>
    <row r="8" spans="1:15" x14ac:dyDescent="0.25">
      <c r="A8" s="32" t="s">
        <v>125</v>
      </c>
      <c r="B8" s="33">
        <v>1866734.6</v>
      </c>
      <c r="C8" s="33">
        <v>950791.12</v>
      </c>
      <c r="D8" s="33">
        <f>243288966238.83+2450562184.96</f>
        <v>245739528423.78998</v>
      </c>
      <c r="E8" s="33">
        <v>52</v>
      </c>
      <c r="F8" s="33">
        <v>18</v>
      </c>
      <c r="G8" s="33">
        <f>65457.7+12610.5+93210.4</f>
        <v>171278.59999999998</v>
      </c>
      <c r="H8" s="33">
        <f t="shared" si="0"/>
        <v>171.27859999999998</v>
      </c>
      <c r="I8" s="33">
        <v>34</v>
      </c>
      <c r="J8" s="33">
        <f>1657276.4+15885.9+22293.7</f>
        <v>1695455.9999999998</v>
      </c>
      <c r="K8" s="33">
        <f t="shared" si="1"/>
        <v>1695.4559999999997</v>
      </c>
      <c r="M8" s="34">
        <v>243288966238.82999</v>
      </c>
      <c r="N8" s="34">
        <v>2450562184.96</v>
      </c>
      <c r="O8" s="50">
        <f t="shared" si="2"/>
        <v>245739528423.78998</v>
      </c>
    </row>
    <row r="9" spans="1:15" x14ac:dyDescent="0.25">
      <c r="A9" s="32" t="s">
        <v>126</v>
      </c>
      <c r="B9" s="33">
        <v>1692321.2</v>
      </c>
      <c r="C9" s="33">
        <v>942112.71</v>
      </c>
      <c r="D9" s="33">
        <v>240920480370.57001</v>
      </c>
      <c r="E9" s="33">
        <v>61</v>
      </c>
      <c r="F9" s="33">
        <v>14</v>
      </c>
      <c r="G9" s="33">
        <v>145548.20000000001</v>
      </c>
      <c r="H9" s="33">
        <f t="shared" si="0"/>
        <v>145.54820000000001</v>
      </c>
      <c r="I9" s="33">
        <v>47</v>
      </c>
      <c r="J9" s="33">
        <v>1546773.0000000002</v>
      </c>
      <c r="K9" s="33">
        <f t="shared" si="1"/>
        <v>1546.7730000000001</v>
      </c>
      <c r="M9" s="34">
        <v>238767627704.47</v>
      </c>
      <c r="N9" s="34">
        <v>2152852666.0999999</v>
      </c>
      <c r="O9" s="50">
        <f t="shared" si="2"/>
        <v>240920480370.57001</v>
      </c>
    </row>
    <row r="10" spans="1:15" x14ac:dyDescent="0.25">
      <c r="A10" s="32" t="s">
        <v>127</v>
      </c>
      <c r="B10" s="33">
        <v>1514715.1</v>
      </c>
      <c r="C10" s="33">
        <f>1329576.81</f>
        <v>1329576.81</v>
      </c>
      <c r="D10" s="33">
        <f>352309454941.66+426903152.1</f>
        <v>352736358093.75995</v>
      </c>
      <c r="E10" s="33">
        <f>F10+I10</f>
        <v>82</v>
      </c>
      <c r="F10" s="33">
        <v>26</v>
      </c>
      <c r="G10" s="33">
        <f>196085.8+39451.8+94505.8</f>
        <v>330043.39999999997</v>
      </c>
      <c r="H10" s="33">
        <f t="shared" si="0"/>
        <v>330.04339999999996</v>
      </c>
      <c r="I10" s="33">
        <v>56</v>
      </c>
      <c r="J10" s="33">
        <f>996887.5+156766.6+31017.6</f>
        <v>1184671.7000000002</v>
      </c>
      <c r="K10" s="33">
        <f t="shared" si="1"/>
        <v>1184.6717000000001</v>
      </c>
      <c r="M10" s="34">
        <v>352309454941.65997</v>
      </c>
      <c r="N10" s="34">
        <v>426903152.10000002</v>
      </c>
      <c r="O10" s="50">
        <f t="shared" si="2"/>
        <v>352736358093.75995</v>
      </c>
    </row>
    <row r="11" spans="1:15" x14ac:dyDescent="0.25">
      <c r="A11" s="32" t="s">
        <v>128</v>
      </c>
      <c r="B11" s="33">
        <v>931954.3</v>
      </c>
      <c r="C11" s="33">
        <v>805669.46</v>
      </c>
      <c r="D11" s="33">
        <f>217572336100.38+280312507.14</f>
        <v>217852648607.52002</v>
      </c>
      <c r="E11" s="33">
        <f>F11+I11</f>
        <v>68</v>
      </c>
      <c r="F11" s="33">
        <v>23</v>
      </c>
      <c r="G11" s="33">
        <f>86057.7+25914.7+55127.4</f>
        <v>167099.79999999999</v>
      </c>
      <c r="H11" s="33">
        <f t="shared" si="0"/>
        <v>167.09979999999999</v>
      </c>
      <c r="I11" s="33">
        <v>45</v>
      </c>
      <c r="J11" s="33">
        <f>611601.9+114108.4+39144.2</f>
        <v>764854.5</v>
      </c>
      <c r="K11" s="33">
        <f t="shared" si="1"/>
        <v>764.85450000000003</v>
      </c>
      <c r="M11" s="34">
        <v>217572336100.38</v>
      </c>
      <c r="N11" s="34">
        <v>280312507.13999999</v>
      </c>
      <c r="O11" s="50">
        <f t="shared" si="2"/>
        <v>217852648607.52002</v>
      </c>
    </row>
    <row r="12" spans="1:15" x14ac:dyDescent="0.25">
      <c r="A12" s="32" t="s">
        <v>129</v>
      </c>
      <c r="B12" s="33">
        <v>2023642.9</v>
      </c>
      <c r="C12" s="33">
        <v>1207535.97</v>
      </c>
      <c r="D12" s="33">
        <f>M12+N12</f>
        <v>342766706164.42999</v>
      </c>
      <c r="E12" s="33">
        <v>82</v>
      </c>
      <c r="F12" s="33">
        <v>21</v>
      </c>
      <c r="G12" s="33">
        <v>447104.69999999995</v>
      </c>
      <c r="H12" s="33">
        <f t="shared" si="0"/>
        <v>447.10469999999998</v>
      </c>
      <c r="I12" s="50">
        <v>61</v>
      </c>
      <c r="J12" s="33">
        <v>1576538.2</v>
      </c>
      <c r="K12" s="33">
        <f t="shared" si="1"/>
        <v>1576.5382</v>
      </c>
      <c r="M12" s="34">
        <v>340487788172.57001</v>
      </c>
      <c r="N12" s="34">
        <v>2278917991.8600001</v>
      </c>
      <c r="O12" s="50">
        <f t="shared" si="2"/>
        <v>342766706164.42999</v>
      </c>
    </row>
    <row r="13" spans="1:15" x14ac:dyDescent="0.25">
      <c r="A13" s="32" t="s">
        <v>130</v>
      </c>
      <c r="B13" s="33">
        <v>1902516.4</v>
      </c>
      <c r="C13" s="33">
        <v>1142969.3700000001</v>
      </c>
      <c r="D13" s="33">
        <f>330887111735.75+2311005367.68</f>
        <v>333198117103.42999</v>
      </c>
      <c r="E13" s="33">
        <f>F13+I13</f>
        <v>82</v>
      </c>
      <c r="F13" s="33">
        <v>22</v>
      </c>
      <c r="G13" s="33">
        <f>216474.9+18206.8+32739</f>
        <v>267420.69999999995</v>
      </c>
      <c r="H13" s="33">
        <f t="shared" si="0"/>
        <v>267.42069999999995</v>
      </c>
      <c r="I13" s="33">
        <v>60</v>
      </c>
      <c r="J13" s="33">
        <f>1551740.8+62698.9+20656</f>
        <v>1635095.7</v>
      </c>
      <c r="K13" s="33">
        <f t="shared" si="1"/>
        <v>1635.0956999999999</v>
      </c>
      <c r="M13" s="34">
        <v>330887111735.75</v>
      </c>
      <c r="N13" s="34">
        <v>2311005367.6799998</v>
      </c>
      <c r="O13" s="50">
        <f t="shared" si="2"/>
        <v>333198117103.42999</v>
      </c>
    </row>
    <row r="14" spans="1:15" x14ac:dyDescent="0.25">
      <c r="A14" s="32" t="s">
        <v>131</v>
      </c>
      <c r="B14" s="33">
        <v>1689452.2</v>
      </c>
      <c r="C14" s="33">
        <v>1082814.67</v>
      </c>
      <c r="D14" s="33">
        <f>320396730116.43+1822483687.16</f>
        <v>322219213803.58997</v>
      </c>
      <c r="E14" s="33">
        <v>76</v>
      </c>
      <c r="F14" s="33">
        <v>19</v>
      </c>
      <c r="G14" s="50">
        <f>241577.1+33975.1+46608.6</f>
        <v>322160.8</v>
      </c>
      <c r="H14" s="33">
        <f t="shared" si="0"/>
        <v>322.16079999999999</v>
      </c>
      <c r="I14" s="33">
        <v>57</v>
      </c>
      <c r="J14" s="33">
        <f>1273942.2+57484.8+35864.4</f>
        <v>1367291.4</v>
      </c>
      <c r="K14" s="33">
        <f t="shared" si="1"/>
        <v>1367.2913999999998</v>
      </c>
      <c r="M14" s="34">
        <v>320396730116.42999</v>
      </c>
      <c r="N14" s="34">
        <v>1822483687.1600001</v>
      </c>
      <c r="O14" s="50">
        <f t="shared" si="2"/>
        <v>322219213803.58997</v>
      </c>
    </row>
    <row r="15" spans="1:15" x14ac:dyDescent="0.25">
      <c r="A15" s="32" t="s">
        <v>132</v>
      </c>
      <c r="B15" s="54">
        <v>651753.4</v>
      </c>
      <c r="C15" s="33">
        <v>543229.36</v>
      </c>
      <c r="D15" s="33">
        <f>157340256267.55+288319847.03</f>
        <v>157628576114.57999</v>
      </c>
      <c r="E15" s="33">
        <f t="shared" ref="E15" si="3">F15+I15</f>
        <v>41</v>
      </c>
      <c r="F15" s="33">
        <v>12</v>
      </c>
      <c r="G15" s="33">
        <f>83635.7+5018.3+21821.4</f>
        <v>110475.4</v>
      </c>
      <c r="H15" s="33">
        <f t="shared" si="0"/>
        <v>110.47539999999999</v>
      </c>
      <c r="I15" s="33">
        <v>29</v>
      </c>
      <c r="J15" s="33">
        <f>510853+28476.9+1948.1</f>
        <v>541278</v>
      </c>
      <c r="K15" s="33">
        <f t="shared" si="1"/>
        <v>541.27800000000002</v>
      </c>
      <c r="M15" s="34">
        <v>157340256267.54999</v>
      </c>
      <c r="N15" s="34">
        <v>288319847.02999997</v>
      </c>
      <c r="O15" s="50">
        <f t="shared" si="2"/>
        <v>157628576114.57999</v>
      </c>
    </row>
    <row r="16" spans="1:15" x14ac:dyDescent="0.25">
      <c r="A16" s="35" t="s">
        <v>84</v>
      </c>
      <c r="B16" s="36">
        <f>SUM(B4:B15)</f>
        <v>16457040.600000001</v>
      </c>
      <c r="C16" s="36">
        <f>SUM(C4:C15)</f>
        <v>10883948.689999999</v>
      </c>
      <c r="D16" s="36">
        <f>SUM(D4:D15)</f>
        <v>2892954386851.7998</v>
      </c>
      <c r="E16" s="36"/>
      <c r="F16" s="36"/>
      <c r="G16" s="36">
        <f>SUM(G4:G15)</f>
        <v>2516058.0999999996</v>
      </c>
      <c r="H16" s="36">
        <f t="shared" ref="H16:K16" si="4">SUM(H4:H15)</f>
        <v>2516.0580999999997</v>
      </c>
      <c r="I16" s="36"/>
      <c r="J16" s="36">
        <f>SUM(J4:J15)</f>
        <v>13940982.499999998</v>
      </c>
      <c r="K16" s="36">
        <f t="shared" si="4"/>
        <v>13940.9825</v>
      </c>
    </row>
    <row r="17" spans="1:13" x14ac:dyDescent="0.25">
      <c r="B17" s="58"/>
    </row>
    <row r="18" spans="1:13" x14ac:dyDescent="0.25">
      <c r="A18" s="59"/>
      <c r="B18" s="60"/>
      <c r="M18" s="12"/>
    </row>
    <row r="19" spans="1:13" x14ac:dyDescent="0.25">
      <c r="A19" s="59"/>
      <c r="B19" s="60"/>
    </row>
    <row r="20" spans="1:13" x14ac:dyDescent="0.25">
      <c r="A20" s="56"/>
      <c r="B20" s="57"/>
      <c r="J20" s="21"/>
    </row>
    <row r="21" spans="1:13" x14ac:dyDescent="0.25">
      <c r="A21" s="56"/>
      <c r="B21" s="57"/>
      <c r="J21" s="16"/>
    </row>
  </sheetData>
  <mergeCells count="2">
    <mergeCell ref="A1:K1"/>
    <mergeCell ref="A2:C2"/>
  </mergeCells>
  <phoneticPr fontId="7" type="noConversion"/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A145F-EFE9-4206-A24D-31850D7C4729}">
  <dimension ref="A1:O24"/>
  <sheetViews>
    <sheetView tabSelected="1" workbookViewId="0">
      <selection activeCell="B8" sqref="B8"/>
    </sheetView>
  </sheetViews>
  <sheetFormatPr defaultRowHeight="15" x14ac:dyDescent="0.25"/>
  <cols>
    <col min="2" max="3" width="12.28515625" bestFit="1" customWidth="1"/>
    <col min="4" max="4" width="18.42578125" bestFit="1" customWidth="1"/>
    <col min="7" max="7" width="11.5703125" bestFit="1" customWidth="1"/>
    <col min="8" max="8" width="10.85546875" customWidth="1"/>
    <col min="10" max="10" width="15.7109375" bestFit="1" customWidth="1"/>
    <col min="11" max="11" width="11.7109375" customWidth="1"/>
    <col min="13" max="13" width="19" bestFit="1" customWidth="1"/>
    <col min="14" max="14" width="15.5703125" customWidth="1"/>
    <col min="15" max="15" width="16.7109375" bestFit="1" customWidth="1"/>
  </cols>
  <sheetData>
    <row r="1" spans="1:15" x14ac:dyDescent="0.25">
      <c r="A1" s="65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5" x14ac:dyDescent="0.25">
      <c r="A2" s="65" t="s">
        <v>151</v>
      </c>
      <c r="B2" s="65"/>
      <c r="C2" s="65"/>
      <c r="D2" s="30"/>
      <c r="E2" s="30"/>
      <c r="F2" s="30"/>
      <c r="G2" s="30"/>
      <c r="H2" s="30"/>
      <c r="I2" s="30"/>
      <c r="J2" s="30"/>
      <c r="K2" s="30"/>
    </row>
    <row r="3" spans="1:15" ht="64.5" customHeight="1" x14ac:dyDescent="0.25">
      <c r="A3" s="31" t="s">
        <v>96</v>
      </c>
      <c r="B3" s="31" t="s">
        <v>152</v>
      </c>
      <c r="C3" s="31" t="s">
        <v>153</v>
      </c>
      <c r="D3" s="31" t="s">
        <v>99</v>
      </c>
      <c r="E3" s="31" t="s">
        <v>100</v>
      </c>
      <c r="F3" s="31" t="s">
        <v>101</v>
      </c>
      <c r="G3" s="31" t="s">
        <v>146</v>
      </c>
      <c r="H3" s="31" t="s">
        <v>147</v>
      </c>
      <c r="I3" s="31" t="s">
        <v>104</v>
      </c>
      <c r="J3" s="31" t="s">
        <v>148</v>
      </c>
      <c r="K3" s="31" t="s">
        <v>149</v>
      </c>
      <c r="M3" s="31" t="s">
        <v>80</v>
      </c>
      <c r="N3" s="31" t="s">
        <v>81</v>
      </c>
      <c r="O3" s="31" t="s">
        <v>108</v>
      </c>
    </row>
    <row r="4" spans="1:15" x14ac:dyDescent="0.25">
      <c r="A4" s="32" t="s">
        <v>134</v>
      </c>
      <c r="B4" s="50">
        <v>1236475.8999999999</v>
      </c>
      <c r="C4" s="50">
        <v>629725.43999999994</v>
      </c>
      <c r="D4" s="50">
        <f>188758196256.97+1775561307.44</f>
        <v>190533757564.41</v>
      </c>
      <c r="E4" s="66">
        <f>F4+I4</f>
        <v>30</v>
      </c>
      <c r="F4" s="66">
        <v>16</v>
      </c>
      <c r="G4" s="50">
        <f>30524.8+14385.4+21856.3</f>
        <v>66766.5</v>
      </c>
      <c r="H4" s="50">
        <f t="shared" ref="H4:H15" si="0">+G4/1000</f>
        <v>66.766499999999994</v>
      </c>
      <c r="I4" s="66">
        <f>10+3+1</f>
        <v>14</v>
      </c>
      <c r="J4" s="50">
        <f>1003863.5+161380.7+4465.2</f>
        <v>1169709.3999999999</v>
      </c>
      <c r="K4" s="50">
        <f t="shared" ref="K4:K15" si="1">+J4/1000</f>
        <v>1169.7094</v>
      </c>
      <c r="M4" s="61">
        <v>188758196256.97</v>
      </c>
      <c r="N4" s="62">
        <v>1775561307.4400001</v>
      </c>
      <c r="O4" s="50">
        <f>SUM(M4:N4)</f>
        <v>190533757564.41</v>
      </c>
    </row>
    <row r="5" spans="1:15" x14ac:dyDescent="0.25">
      <c r="A5" s="32" t="s">
        <v>135</v>
      </c>
      <c r="B5" s="53">
        <v>645130.9</v>
      </c>
      <c r="C5" s="53">
        <v>542312.05000000005</v>
      </c>
      <c r="D5" s="50">
        <f>O5</f>
        <v>172214545914.52002</v>
      </c>
      <c r="E5" s="66">
        <f t="shared" ref="E5:E15" si="2">F5+I5</f>
        <v>36</v>
      </c>
      <c r="F5" s="66">
        <v>15</v>
      </c>
      <c r="G5" s="53">
        <f>182495+4714.7+15932.1</f>
        <v>203141.80000000002</v>
      </c>
      <c r="H5" s="50">
        <f t="shared" si="0"/>
        <v>203.14180000000002</v>
      </c>
      <c r="I5" s="66">
        <v>21</v>
      </c>
      <c r="J5" s="53">
        <f>358210.3+73602.4+10176.4</f>
        <v>441989.1</v>
      </c>
      <c r="K5" s="50">
        <f t="shared" si="1"/>
        <v>441.98909999999995</v>
      </c>
      <c r="M5" s="62">
        <v>171943319794.89001</v>
      </c>
      <c r="N5" s="62">
        <v>271226119.63</v>
      </c>
      <c r="O5" s="50">
        <f>SUM(M5:N5)</f>
        <v>172214545914.52002</v>
      </c>
    </row>
    <row r="6" spans="1:15" x14ac:dyDescent="0.25">
      <c r="A6" s="32" t="s">
        <v>136</v>
      </c>
      <c r="B6" s="53">
        <v>281818.5</v>
      </c>
      <c r="C6" s="53">
        <v>227197.45</v>
      </c>
      <c r="D6" s="50">
        <f>O6</f>
        <v>75692264274.740005</v>
      </c>
      <c r="E6" s="66">
        <f t="shared" si="2"/>
        <v>6</v>
      </c>
      <c r="F6" s="66">
        <v>0</v>
      </c>
      <c r="G6" s="53">
        <v>0</v>
      </c>
      <c r="H6" s="50">
        <f t="shared" si="0"/>
        <v>0</v>
      </c>
      <c r="I6" s="66">
        <v>6</v>
      </c>
      <c r="J6" s="53">
        <f>278846.3+2972.2</f>
        <v>281818.5</v>
      </c>
      <c r="K6" s="50">
        <f t="shared" si="1"/>
        <v>281.81849999999997</v>
      </c>
      <c r="M6" s="68">
        <v>75537031944.880005</v>
      </c>
      <c r="N6" s="68">
        <v>155232329.86000001</v>
      </c>
      <c r="O6" s="50">
        <f>SUM(M6:N6)</f>
        <v>75692264274.740005</v>
      </c>
    </row>
    <row r="7" spans="1:15" x14ac:dyDescent="0.25">
      <c r="A7" s="32" t="s">
        <v>137</v>
      </c>
      <c r="B7" s="50"/>
      <c r="C7" s="50"/>
      <c r="D7" s="50"/>
      <c r="E7" s="66">
        <f t="shared" si="2"/>
        <v>0</v>
      </c>
      <c r="F7" s="66"/>
      <c r="G7" s="50"/>
      <c r="H7" s="50">
        <f t="shared" si="0"/>
        <v>0</v>
      </c>
      <c r="I7" s="66"/>
      <c r="J7" s="50"/>
      <c r="K7" s="50">
        <f t="shared" si="1"/>
        <v>0</v>
      </c>
      <c r="M7" s="34"/>
      <c r="N7" s="34"/>
      <c r="O7" s="50">
        <f t="shared" ref="O7:O15" si="3">SUM(M7:N7)</f>
        <v>0</v>
      </c>
    </row>
    <row r="8" spans="1:15" x14ac:dyDescent="0.25">
      <c r="A8" s="32" t="s">
        <v>138</v>
      </c>
      <c r="B8" s="50"/>
      <c r="C8" s="50"/>
      <c r="D8" s="50"/>
      <c r="E8" s="66">
        <f t="shared" si="2"/>
        <v>0</v>
      </c>
      <c r="F8" s="66"/>
      <c r="G8" s="50"/>
      <c r="H8" s="50">
        <f t="shared" si="0"/>
        <v>0</v>
      </c>
      <c r="I8" s="66"/>
      <c r="J8" s="50"/>
      <c r="K8" s="50">
        <f t="shared" si="1"/>
        <v>0</v>
      </c>
      <c r="M8" s="34"/>
      <c r="N8" s="34"/>
      <c r="O8" s="50">
        <f t="shared" si="3"/>
        <v>0</v>
      </c>
    </row>
    <row r="9" spans="1:15" x14ac:dyDescent="0.25">
      <c r="A9" s="32" t="s">
        <v>139</v>
      </c>
      <c r="B9" s="50"/>
      <c r="C9" s="50"/>
      <c r="D9" s="50"/>
      <c r="E9" s="66">
        <f t="shared" si="2"/>
        <v>0</v>
      </c>
      <c r="F9" s="66"/>
      <c r="G9" s="50"/>
      <c r="H9" s="50">
        <f t="shared" si="0"/>
        <v>0</v>
      </c>
      <c r="I9" s="66"/>
      <c r="J9" s="50"/>
      <c r="K9" s="50">
        <f t="shared" si="1"/>
        <v>0</v>
      </c>
      <c r="M9" s="34"/>
      <c r="N9" s="34"/>
      <c r="O9" s="50">
        <f t="shared" si="3"/>
        <v>0</v>
      </c>
    </row>
    <row r="10" spans="1:15" x14ac:dyDescent="0.25">
      <c r="A10" s="32" t="s">
        <v>140</v>
      </c>
      <c r="B10" s="50"/>
      <c r="C10" s="50"/>
      <c r="D10" s="50"/>
      <c r="E10" s="66">
        <f t="shared" si="2"/>
        <v>0</v>
      </c>
      <c r="F10" s="66"/>
      <c r="G10" s="50"/>
      <c r="H10" s="50">
        <f t="shared" si="0"/>
        <v>0</v>
      </c>
      <c r="I10" s="66"/>
      <c r="J10" s="50"/>
      <c r="K10" s="50">
        <f t="shared" si="1"/>
        <v>0</v>
      </c>
      <c r="M10" s="34"/>
      <c r="N10" s="34"/>
      <c r="O10" s="50">
        <f t="shared" si="3"/>
        <v>0</v>
      </c>
    </row>
    <row r="11" spans="1:15" x14ac:dyDescent="0.25">
      <c r="A11" s="32" t="s">
        <v>141</v>
      </c>
      <c r="B11" s="50"/>
      <c r="C11" s="50"/>
      <c r="D11" s="50"/>
      <c r="E11" s="66">
        <f t="shared" si="2"/>
        <v>0</v>
      </c>
      <c r="F11" s="66"/>
      <c r="G11" s="50"/>
      <c r="H11" s="50">
        <f t="shared" si="0"/>
        <v>0</v>
      </c>
      <c r="I11" s="66"/>
      <c r="J11" s="50"/>
      <c r="K11" s="50">
        <f t="shared" si="1"/>
        <v>0</v>
      </c>
      <c r="M11" s="34"/>
      <c r="N11" s="34"/>
      <c r="O11" s="50">
        <f t="shared" si="3"/>
        <v>0</v>
      </c>
    </row>
    <row r="12" spans="1:15" x14ac:dyDescent="0.25">
      <c r="A12" s="32" t="s">
        <v>142</v>
      </c>
      <c r="B12" s="50"/>
      <c r="C12" s="50"/>
      <c r="D12" s="50"/>
      <c r="E12" s="66">
        <f t="shared" si="2"/>
        <v>0</v>
      </c>
      <c r="F12" s="66"/>
      <c r="G12" s="50"/>
      <c r="H12" s="50">
        <f t="shared" si="0"/>
        <v>0</v>
      </c>
      <c r="I12" s="66"/>
      <c r="J12" s="50"/>
      <c r="K12" s="50">
        <f t="shared" si="1"/>
        <v>0</v>
      </c>
      <c r="M12" s="34"/>
      <c r="N12" s="34"/>
      <c r="O12" s="50">
        <f t="shared" si="3"/>
        <v>0</v>
      </c>
    </row>
    <row r="13" spans="1:15" x14ac:dyDescent="0.25">
      <c r="A13" s="32" t="s">
        <v>143</v>
      </c>
      <c r="B13" s="50"/>
      <c r="C13" s="50"/>
      <c r="D13" s="50"/>
      <c r="E13" s="66">
        <f t="shared" si="2"/>
        <v>0</v>
      </c>
      <c r="F13" s="66"/>
      <c r="G13" s="50"/>
      <c r="H13" s="50">
        <f t="shared" si="0"/>
        <v>0</v>
      </c>
      <c r="I13" s="66"/>
      <c r="J13" s="50"/>
      <c r="K13" s="50">
        <f t="shared" si="1"/>
        <v>0</v>
      </c>
      <c r="M13" s="34"/>
      <c r="N13" s="34"/>
      <c r="O13" s="50">
        <f t="shared" si="3"/>
        <v>0</v>
      </c>
    </row>
    <row r="14" spans="1:15" x14ac:dyDescent="0.25">
      <c r="A14" s="32" t="s">
        <v>144</v>
      </c>
      <c r="B14" s="50"/>
      <c r="C14" s="50"/>
      <c r="D14" s="50"/>
      <c r="E14" s="66">
        <f t="shared" si="2"/>
        <v>0</v>
      </c>
      <c r="F14" s="66"/>
      <c r="G14" s="50"/>
      <c r="H14" s="50">
        <f t="shared" si="0"/>
        <v>0</v>
      </c>
      <c r="I14" s="66"/>
      <c r="J14" s="50"/>
      <c r="K14" s="50">
        <f t="shared" si="1"/>
        <v>0</v>
      </c>
      <c r="M14" s="34"/>
      <c r="N14" s="34"/>
      <c r="O14" s="50">
        <f t="shared" si="3"/>
        <v>0</v>
      </c>
    </row>
    <row r="15" spans="1:15" x14ac:dyDescent="0.25">
      <c r="A15" s="32" t="s">
        <v>145</v>
      </c>
      <c r="B15" s="67"/>
      <c r="C15" s="50"/>
      <c r="D15" s="50"/>
      <c r="E15" s="66">
        <f t="shared" si="2"/>
        <v>0</v>
      </c>
      <c r="F15" s="66"/>
      <c r="G15" s="50"/>
      <c r="H15" s="50">
        <f t="shared" si="0"/>
        <v>0</v>
      </c>
      <c r="I15" s="66"/>
      <c r="J15" s="50"/>
      <c r="K15" s="50">
        <f t="shared" si="1"/>
        <v>0</v>
      </c>
      <c r="M15" s="34"/>
      <c r="N15" s="34"/>
      <c r="O15" s="50">
        <f t="shared" si="3"/>
        <v>0</v>
      </c>
    </row>
    <row r="16" spans="1:15" x14ac:dyDescent="0.25">
      <c r="A16" s="35" t="s">
        <v>84</v>
      </c>
      <c r="B16" s="36">
        <f>SUM(B4:B15)</f>
        <v>2163425.2999999998</v>
      </c>
      <c r="C16" s="36">
        <f>SUM(C4:C15)</f>
        <v>1399234.94</v>
      </c>
      <c r="D16" s="36">
        <f>SUM(D4:D15)</f>
        <v>438440567753.67004</v>
      </c>
      <c r="E16" s="36"/>
      <c r="F16" s="36"/>
      <c r="G16" s="36">
        <f>SUM(G4:G15)</f>
        <v>269908.30000000005</v>
      </c>
      <c r="H16" s="36">
        <f t="shared" ref="H16:K16" si="4">SUM(H4:H15)</f>
        <v>269.9083</v>
      </c>
      <c r="I16" s="36"/>
      <c r="J16" s="36">
        <f>SUM(J4:J15)</f>
        <v>1893517</v>
      </c>
      <c r="K16" s="36">
        <f t="shared" si="4"/>
        <v>1893.5169999999998</v>
      </c>
    </row>
    <row r="18" spans="4:13" x14ac:dyDescent="0.25">
      <c r="G18" s="29"/>
      <c r="M18" s="12"/>
    </row>
    <row r="19" spans="4:13" x14ac:dyDescent="0.25">
      <c r="G19" s="13"/>
    </row>
    <row r="20" spans="4:13" x14ac:dyDescent="0.25">
      <c r="J20" s="21"/>
    </row>
    <row r="21" spans="4:13" x14ac:dyDescent="0.25">
      <c r="J21" s="16"/>
    </row>
    <row r="24" spans="4:13" x14ac:dyDescent="0.25">
      <c r="D24" t="s">
        <v>150</v>
      </c>
    </row>
  </sheetData>
  <mergeCells count="2">
    <mergeCell ref="A1:K1"/>
    <mergeCell ref="A2:C2"/>
  </mergeCells>
  <phoneticPr fontId="7" type="noConversion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Altantulga Ikhtur</dc:creator>
  <cp:lastModifiedBy>SZZG Misheel A</cp:lastModifiedBy>
  <cp:lastPrinted>2022-08-02T07:47:58Z</cp:lastPrinted>
  <dcterms:created xsi:type="dcterms:W3CDTF">2020-04-03T09:16:14Z</dcterms:created>
  <dcterms:modified xsi:type="dcterms:W3CDTF">2025-04-01T03:34:32Z</dcterms:modified>
</cp:coreProperties>
</file>